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lvira Dushku\OneDrive\Desktop\KUVENDI I PUNES dhe STATUTOR 30 JANAR 2025\Raportet 2024 dhe Planet 2025\Planet 2025\"/>
    </mc:Choice>
  </mc:AlternateContent>
  <xr:revisionPtr revIDLastSave="0" documentId="8_{46200D28-D331-45BD-B4AD-4B941F7208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1" l="1"/>
  <c r="C85" i="1"/>
  <c r="E85" i="1"/>
  <c r="E86" i="1"/>
  <c r="C86" i="1"/>
  <c r="C54" i="1"/>
  <c r="E54" i="1"/>
  <c r="C53" i="1"/>
  <c r="E53" i="1"/>
  <c r="E52" i="1"/>
  <c r="C52" i="1"/>
  <c r="D120" i="1"/>
  <c r="D128" i="1" s="1"/>
  <c r="E18" i="1"/>
  <c r="E27" i="1" s="1"/>
  <c r="D18" i="1"/>
  <c r="D27" i="1" s="1"/>
  <c r="G147" i="1"/>
  <c r="G146" i="1"/>
  <c r="G25" i="1"/>
  <c r="G27" i="1" s="1"/>
  <c r="E48" i="1"/>
  <c r="C65" i="1"/>
  <c r="E65" i="1"/>
  <c r="E72" i="1"/>
  <c r="E71" i="1"/>
  <c r="C68" i="1"/>
  <c r="E68" i="1"/>
  <c r="C63" i="1"/>
  <c r="E63" i="1"/>
  <c r="C62" i="1"/>
  <c r="E62" i="1"/>
  <c r="E61" i="1"/>
  <c r="E60" i="1"/>
  <c r="C60" i="1"/>
  <c r="H31" i="1"/>
  <c r="H49" i="1" s="1"/>
  <c r="F98" i="1"/>
  <c r="F100" i="1" s="1"/>
  <c r="E29" i="1"/>
  <c r="H67" i="1"/>
  <c r="H69" i="1" s="1"/>
  <c r="G89" i="1"/>
  <c r="G95" i="1" s="1"/>
  <c r="D154" i="1"/>
  <c r="E154" i="1"/>
  <c r="F154" i="1"/>
  <c r="H154" i="1"/>
  <c r="D144" i="1"/>
  <c r="E144" i="1"/>
  <c r="F144" i="1"/>
  <c r="G144" i="1"/>
  <c r="H144" i="1"/>
  <c r="D135" i="1"/>
  <c r="F135" i="1"/>
  <c r="G135" i="1"/>
  <c r="H135" i="1"/>
  <c r="C135" i="1"/>
  <c r="E128" i="1"/>
  <c r="F128" i="1"/>
  <c r="G128" i="1"/>
  <c r="H128" i="1"/>
  <c r="D100" i="1"/>
  <c r="E100" i="1"/>
  <c r="G100" i="1"/>
  <c r="H100" i="1"/>
  <c r="C100" i="1"/>
  <c r="D95" i="1"/>
  <c r="F95" i="1"/>
  <c r="H95" i="1"/>
  <c r="D83" i="1"/>
  <c r="F83" i="1"/>
  <c r="G83" i="1"/>
  <c r="H83" i="1"/>
  <c r="F69" i="1"/>
  <c r="G69" i="1"/>
  <c r="D57" i="1"/>
  <c r="F57" i="1"/>
  <c r="G57" i="1"/>
  <c r="H57" i="1"/>
  <c r="D49" i="1"/>
  <c r="G49" i="1"/>
  <c r="F27" i="1"/>
  <c r="H27" i="1"/>
  <c r="F34" i="1"/>
  <c r="F49" i="1" s="1"/>
  <c r="E33" i="1"/>
  <c r="E32" i="1"/>
  <c r="G154" i="1" l="1"/>
  <c r="E83" i="1"/>
  <c r="C41" i="1"/>
  <c r="C108" i="1" l="1"/>
  <c r="E95" i="1" l="1"/>
  <c r="C43" i="1"/>
  <c r="C42" i="1"/>
  <c r="E37" i="1" l="1"/>
  <c r="E40" i="1"/>
  <c r="E39" i="1"/>
  <c r="E36" i="1"/>
  <c r="E35" i="1"/>
  <c r="E30" i="1"/>
  <c r="H2" i="1"/>
  <c r="D64" i="1"/>
  <c r="C64" i="1"/>
  <c r="C59" i="1"/>
  <c r="D59" i="1"/>
  <c r="D69" i="1" l="1"/>
  <c r="E49" i="1"/>
  <c r="E67" i="1"/>
  <c r="E64" i="1"/>
  <c r="C111" i="1"/>
  <c r="E135" i="1"/>
  <c r="E55" i="1"/>
  <c r="E59" i="1"/>
  <c r="E69" i="1" l="1"/>
  <c r="C69" i="1"/>
  <c r="C57" i="1"/>
  <c r="E57" i="1"/>
  <c r="I21" i="1"/>
  <c r="I22" i="1"/>
  <c r="I23" i="1"/>
  <c r="I24" i="1"/>
  <c r="I25" i="1"/>
  <c r="I26" i="1"/>
  <c r="I86" i="1" l="1"/>
  <c r="I87" i="1"/>
  <c r="I88" i="1"/>
  <c r="I60" i="1" l="1"/>
  <c r="I61" i="1"/>
  <c r="I62" i="1"/>
  <c r="I63" i="1"/>
  <c r="I64" i="1"/>
  <c r="I65" i="1"/>
  <c r="I66" i="1"/>
  <c r="I67" i="1"/>
  <c r="I68" i="1"/>
  <c r="I150" i="1" l="1"/>
  <c r="I151" i="1"/>
  <c r="I152" i="1"/>
  <c r="I56" i="1"/>
  <c r="I125" i="1"/>
  <c r="I126" i="1"/>
  <c r="I123" i="1"/>
  <c r="I124" i="1"/>
  <c r="I127" i="1"/>
  <c r="I134" i="1"/>
  <c r="I106" i="1"/>
  <c r="I107" i="1"/>
  <c r="I99" i="1"/>
  <c r="I140" i="1"/>
  <c r="C128" i="1" l="1"/>
  <c r="I94" i="1"/>
  <c r="C95" i="1"/>
  <c r="I55" i="1"/>
  <c r="I31" i="1" l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33" i="1"/>
  <c r="I48" i="1"/>
  <c r="I47" i="1"/>
  <c r="I147" i="1" l="1"/>
  <c r="I30" i="1" l="1"/>
  <c r="I29" i="1"/>
  <c r="I13" i="1"/>
  <c r="I14" i="1"/>
  <c r="I15" i="1"/>
  <c r="I16" i="1"/>
  <c r="I17" i="1"/>
  <c r="I18" i="1"/>
  <c r="I19" i="1"/>
  <c r="I20" i="1"/>
  <c r="I11" i="1"/>
  <c r="I149" i="1"/>
  <c r="I153" i="1"/>
  <c r="I146" i="1"/>
  <c r="I138" i="1"/>
  <c r="I139" i="1"/>
  <c r="I141" i="1"/>
  <c r="I142" i="1"/>
  <c r="I143" i="1"/>
  <c r="I137" i="1"/>
  <c r="I131" i="1"/>
  <c r="I132" i="1"/>
  <c r="I133" i="1"/>
  <c r="I130" i="1"/>
  <c r="I112" i="1"/>
  <c r="I113" i="1"/>
  <c r="I114" i="1"/>
  <c r="I116" i="1"/>
  <c r="I117" i="1"/>
  <c r="I118" i="1"/>
  <c r="I119" i="1"/>
  <c r="I120" i="1"/>
  <c r="I121" i="1"/>
  <c r="I122" i="1"/>
  <c r="I105" i="1"/>
  <c r="I108" i="1"/>
  <c r="I102" i="1"/>
  <c r="I98" i="1"/>
  <c r="I97" i="1"/>
  <c r="I89" i="1"/>
  <c r="I90" i="1"/>
  <c r="I91" i="1"/>
  <c r="I92" i="1"/>
  <c r="I93" i="1"/>
  <c r="I85" i="1"/>
  <c r="I72" i="1"/>
  <c r="I73" i="1"/>
  <c r="I74" i="1"/>
  <c r="I75" i="1"/>
  <c r="I76" i="1"/>
  <c r="I77" i="1"/>
  <c r="I78" i="1"/>
  <c r="I79" i="1"/>
  <c r="I80" i="1"/>
  <c r="I81" i="1"/>
  <c r="I82" i="1"/>
  <c r="I71" i="1"/>
  <c r="I59" i="1"/>
  <c r="I52" i="1"/>
  <c r="I53" i="1"/>
  <c r="I54" i="1"/>
  <c r="I51" i="1"/>
  <c r="I57" i="1" l="1"/>
  <c r="I135" i="1"/>
  <c r="I100" i="1"/>
  <c r="I95" i="1"/>
  <c r="I69" i="1"/>
  <c r="I109" i="1"/>
  <c r="I83" i="1"/>
  <c r="I144" i="1"/>
  <c r="D109" i="1"/>
  <c r="E109" i="1"/>
  <c r="F109" i="1"/>
  <c r="G109" i="1"/>
  <c r="H109" i="1"/>
  <c r="D103" i="1"/>
  <c r="E103" i="1"/>
  <c r="F103" i="1"/>
  <c r="G103" i="1"/>
  <c r="H103" i="1"/>
  <c r="F155" i="1" l="1"/>
  <c r="G155" i="1"/>
  <c r="E155" i="1"/>
  <c r="D155" i="1"/>
  <c r="H155" i="1"/>
  <c r="C154" i="1"/>
  <c r="I148" i="1"/>
  <c r="I154" i="1" s="1"/>
  <c r="I12" i="1"/>
  <c r="I27" i="1" s="1"/>
  <c r="I103" i="1"/>
  <c r="C144" i="1"/>
  <c r="C27" i="1" l="1"/>
  <c r="I111" i="1"/>
  <c r="I128" i="1" s="1"/>
  <c r="C109" i="1" l="1"/>
  <c r="C103" i="1"/>
  <c r="I49" i="1" l="1"/>
  <c r="I155" i="1" s="1"/>
  <c r="C49" i="1" l="1"/>
  <c r="C83" i="1"/>
  <c r="C155" i="1" l="1"/>
</calcChain>
</file>

<file path=xl/sharedStrings.xml><?xml version="1.0" encoding="utf-8"?>
<sst xmlns="http://schemas.openxmlformats.org/spreadsheetml/2006/main" count="156" uniqueCount="155">
  <si>
    <t>MKRS</t>
  </si>
  <si>
    <t>FIBA</t>
  </si>
  <si>
    <t>SPONSORËT</t>
  </si>
  <si>
    <t>PARTNERËT E HUAJ</t>
  </si>
  <si>
    <t>TË HYRAT VETANAKE</t>
  </si>
  <si>
    <t>TË HYRAT NGA ORGANIZMIMET</t>
  </si>
  <si>
    <t>SHPENZIMET E ZYRËS</t>
  </si>
  <si>
    <t>PAGAT E STAFIT</t>
  </si>
  <si>
    <t>LINJA BUXHETORE</t>
  </si>
  <si>
    <t>PËRSHKRIMI I LINJËS BUXHETORE</t>
  </si>
  <si>
    <t>Vetura me qira</t>
  </si>
  <si>
    <t>Tjera</t>
  </si>
  <si>
    <t>SHPENZIMET PËR ORGANIZIM TË LIGAVE</t>
  </si>
  <si>
    <t>LED Reklamat</t>
  </si>
  <si>
    <t>Personat zyrtarë të ndeshjeve</t>
  </si>
  <si>
    <t>PROJEKTET ME ERASMUS</t>
  </si>
  <si>
    <t>Projekti Promise</t>
  </si>
  <si>
    <t>Projekti Safeguarding the Future</t>
  </si>
  <si>
    <t>BASKETBOLLI 3X3</t>
  </si>
  <si>
    <t>TOTAL</t>
  </si>
  <si>
    <t>PËRFAQËSUESET SENIORE TË KOSOVËS</t>
  </si>
  <si>
    <t>PËRFAQËSUESET E REJA TË KOSOVËS</t>
  </si>
  <si>
    <t>PROJEKTET ME FIBA</t>
  </si>
  <si>
    <t>Junior NBA Liga</t>
  </si>
  <si>
    <t>Superkupa e Meshkujve</t>
  </si>
  <si>
    <t>Superkupa e Femrave</t>
  </si>
  <si>
    <t>Projekti Her World Her Rules</t>
  </si>
  <si>
    <t xml:space="preserve">FIBA SCOD Klinika </t>
  </si>
  <si>
    <t>FIBA Referee Camp-Final 8</t>
  </si>
  <si>
    <t>Kampi Ndërkombëtarë për Gjyqtarë</t>
  </si>
  <si>
    <t>Trajnimi për Gjyqtarët Fillestar</t>
  </si>
  <si>
    <t xml:space="preserve">Play Off Klinika për referët </t>
  </si>
  <si>
    <t>Kursi për gjyqtarët perspektiv Mekanika 3 PO</t>
  </si>
  <si>
    <t>FRIP - Instruktori Nacional</t>
  </si>
  <si>
    <t>Organizimi i trajnimit për digjital scoresheet 2024</t>
  </si>
  <si>
    <t>Trajnimi dhe licencimi i LIVE STATS kandidatëve</t>
  </si>
  <si>
    <t>Klinika për vëzhgues</t>
  </si>
  <si>
    <t>FECC</t>
  </si>
  <si>
    <t>Coaches Observation Trip YDF</t>
  </si>
  <si>
    <t xml:space="preserve">Kampi Nacional i FBK-së </t>
  </si>
  <si>
    <t>Regjistrim i lojtarëve në FIBA MAP</t>
  </si>
  <si>
    <t>Shpërblimet Superliga Femrat</t>
  </si>
  <si>
    <t xml:space="preserve">Shpërblimet (Prince Caffe Superliga) </t>
  </si>
  <si>
    <t>Fondi për Të Drejtat Televizive</t>
  </si>
  <si>
    <t>Seminari me Klube - Good Governance</t>
  </si>
  <si>
    <t>UDHËTIMET ZYRTARE</t>
  </si>
  <si>
    <t>Shorti për FIBA Kampionatet Evropiane të Gjeneratave të Reja në Munich</t>
  </si>
  <si>
    <t>FIBA Europe General Assembly dhe Takimi  i Sekretarëve të Përgjithshëm</t>
  </si>
  <si>
    <t>FIBA Women Summit</t>
  </si>
  <si>
    <t>Shpenzime të dizajnit</t>
  </si>
  <si>
    <t>Auditimi i Pasqyrave Financiare</t>
  </si>
  <si>
    <t>TJERA</t>
  </si>
  <si>
    <t>Edukimi i stafit të FBK-së</t>
  </si>
  <si>
    <t>Buxheti për rehabilitimin e basketbollisteve</t>
  </si>
  <si>
    <t>Komisione të FBK-së</t>
  </si>
  <si>
    <t>Të paparashikuara</t>
  </si>
  <si>
    <t>Minibasketbolli</t>
  </si>
  <si>
    <t>Totali i shpenzimeve të zyrës</t>
  </si>
  <si>
    <t>Totali i pagave të stafit</t>
  </si>
  <si>
    <t>Totali i Përfaqësueseve Seniore të Kosovës</t>
  </si>
  <si>
    <t>Totali i Përfaqësueseve të Reja të Kosovës</t>
  </si>
  <si>
    <t>Totali i trajnimeve/klinikave për persona zyrtarë të ndeshjeve</t>
  </si>
  <si>
    <t>TRAJNIMET/KLINIKAT PËR PERSONA ZYRTARË TË NDESHJEVE</t>
  </si>
  <si>
    <t>Totali i shpenzimeve për organizim të ligave</t>
  </si>
  <si>
    <t>Totali i projekteve me Erasmus</t>
  </si>
  <si>
    <t>Totali i Basketbollit 3x3</t>
  </si>
  <si>
    <t>Totali i Eventeve/Projekteve</t>
  </si>
  <si>
    <t>Totali i Projekteve me FIBA</t>
  </si>
  <si>
    <t>Totali i Udhëzimeve Zyrtare</t>
  </si>
  <si>
    <t>Totali i tjera</t>
  </si>
  <si>
    <t>GRAND TOTAL</t>
  </si>
  <si>
    <t>BUXHETI I FEDERATËS SË BASKETBOLLIT TË KOSOVËS</t>
  </si>
  <si>
    <t>Koordinatori i Programit Afatgjatë FBK-MKRS</t>
  </si>
  <si>
    <t>Kompenzimi bazë - Sekretari i Përgjithshëm</t>
  </si>
  <si>
    <t>Kompenzimi bazë - Komesari i Garave</t>
  </si>
  <si>
    <t>Kompenzimi bazë - Drejtori Teknik</t>
  </si>
  <si>
    <t>Kompenzimi bazë - Zëvendës Sekretari &amp; Menaxheri i Përfaqësueseve</t>
  </si>
  <si>
    <t>Kompenzimi bazë - Menaxheri i Financave</t>
  </si>
  <si>
    <t>Kompenzimi bazë -Menaxheri i Projekteve</t>
  </si>
  <si>
    <t>Kompenzimi për Basketbollin 3x3 - Menaxheri i Eventeve</t>
  </si>
  <si>
    <t>Kompenzimi bazë - Menaxheri i Mediave</t>
  </si>
  <si>
    <t>Kompenzimi bazë - Asistenti Ekzekutiv</t>
  </si>
  <si>
    <t>Kompenzimi bazë - Koordinatori i Përfaqësueseve të Reja</t>
  </si>
  <si>
    <t>Zyrtari për Financa - Safeguarding the Future</t>
  </si>
  <si>
    <t>Koordinatori i Projektit -  Safeguarding the Future</t>
  </si>
  <si>
    <t>Menaxheri i Projektit - Safeguarding the Future</t>
  </si>
  <si>
    <t>Punëtorë shtesë gjatë vitit 2024</t>
  </si>
  <si>
    <t>Të tjera</t>
  </si>
  <si>
    <t>Turneu YDF në Kosovë</t>
  </si>
  <si>
    <t>Turneu YDF në Bullgari</t>
  </si>
  <si>
    <t>Pjesëmarrja në FIBA Eurobasket</t>
  </si>
  <si>
    <t>Pjesëmarrja në FIBA Women's Eurobasket</t>
  </si>
  <si>
    <t>Takimi i Komisionit për Zhvillim Biznesi të FIBA Europe</t>
  </si>
  <si>
    <t>The FIBA Mid-Term Congress, incorporating the FIBA Hall of Fame, Manama, Bahrain</t>
  </si>
  <si>
    <t>Sport në Shkolla</t>
  </si>
  <si>
    <t>Përgatitjet e Përfaqësuesës A Meshkujt për pjesëmarrje në FIBA Parakualifikimet për Kampionat Botëror 2027</t>
  </si>
  <si>
    <t>Përgatitjet e Përfaqësuesës A Meshkujt për pjesëmarrje në FIBA Parakualifikimet për Kampionat Botëror 2027/Raundi i dytë</t>
  </si>
  <si>
    <t>Pjesëmarja e Përfaqësuesës A në pjesëmarrje në FIBA Parakualifikimet për Kampionat Botëror 2027/Raundi i Dytë</t>
  </si>
  <si>
    <t>Pjesëmarrja e Përfaqësueses A në FIBA Parakualifikimet për Kampionat Botëror 2027</t>
  </si>
  <si>
    <t>Përgatitjet e Përfaqësuesës U20 Meshkujt- FIBA U20 Eurobasket</t>
  </si>
  <si>
    <t>Pjesëmarrja e Përfaqësuesës U20 Meshkujt - FIBA U20 Eurobasket në Armeni</t>
  </si>
  <si>
    <t>Përgatitjet e Përfaqësuesës U18 Femrat- FIBA U18 Eurobasket</t>
  </si>
  <si>
    <t>Pjesëmarrja e Përfaqësuesës U18 Meshkujt - FIBA U18 Eurobasket në Rumani</t>
  </si>
  <si>
    <t xml:space="preserve">Përgatitja e Përfaqësuesës U18 Meshkujt - FIBA U18 Eurobasket </t>
  </si>
  <si>
    <t>Pjesëmarrja e Përfaqësuesës U18 Femrat - FIBA U18 Eurobasket në Lituani</t>
  </si>
  <si>
    <t>Përgatitjet e Përfaqësuesës U16 Femrat- FIBA U16 Women Eurobasket</t>
  </si>
  <si>
    <t>Pjesëmarrja e Përfaqësuesës U16 Femrat- FIBA U16 Eurobasket në Kosovë</t>
  </si>
  <si>
    <t xml:space="preserve">Përgatitjet e Përfaqësuesës U16 Meshkujt- FIBA U16 Eurobasket </t>
  </si>
  <si>
    <t>Pjesëmarrja e Përfaqësuesës U16 Meshkujt - FIBA U16 Eurobasket në Maqedoni</t>
  </si>
  <si>
    <t>Përgatitja dhe pjesëmarrja e Përfaqësueseve 3x3 për pjesëmarrje në FIBA 3x3 FIBA 3x3 Europe Cup Qualifier  2025</t>
  </si>
  <si>
    <t>Projekti Shooter</t>
  </si>
  <si>
    <t>Organizimi "Shpallja e Laureatëve" dhe shpërblimet financiare për laureatët</t>
  </si>
  <si>
    <t>Organizimi i FIBA U14 Get Together</t>
  </si>
  <si>
    <t>Organizimi i FIBA U16 Kampionatit Evropian për Femra, Divizioni C në Prishtinë</t>
  </si>
  <si>
    <t xml:space="preserve">Organizmi i FIBA 3x3 Europe Cup Qualifier </t>
  </si>
  <si>
    <t>Organizmi i ndeshjeve të Përfaqësuesës A të Meshkujve në Kosovë</t>
  </si>
  <si>
    <t>Final 4 Kupa e Kosovës Femrat</t>
  </si>
  <si>
    <t>Final 4 Kupa e Kosovës Liga e Parë Femrat</t>
  </si>
  <si>
    <t>Final 4 Kupa e Kosovës Liga e Parë Meshkujt</t>
  </si>
  <si>
    <t>Finalja e Kupa e Kosovës Meshkujt</t>
  </si>
  <si>
    <t>Projekti Alley Oop</t>
  </si>
  <si>
    <t>Seminari me klubet e FBK-së për Anti Dopping</t>
  </si>
  <si>
    <t>Seminari me klubet e FBK-së për Marketing dhe Vizibilitet</t>
  </si>
  <si>
    <t xml:space="preserve">Turneu i Veteranëve </t>
  </si>
  <si>
    <t>Kampi për licencim të gjyqtarëve</t>
  </si>
  <si>
    <t>Licencimi i Gjyqtarëve 3x3</t>
  </si>
  <si>
    <t>Tatimet dhe kontributet</t>
  </si>
  <si>
    <t>Festivali i Minibasketbolli</t>
  </si>
  <si>
    <t>Liga Unike</t>
  </si>
  <si>
    <t>Identifikimi I talenteve të rinjë U13</t>
  </si>
  <si>
    <t>Përfaqësuesja eFIBA</t>
  </si>
  <si>
    <t>Produksioni i ndeshjeve</t>
  </si>
  <si>
    <t>Rekuizitat për ekipet e vajzave (topa dhe fanela)</t>
  </si>
  <si>
    <t>Organizimi i ndeshjeve të Play Off për të gjitha ligat (kupa, medalje, DJ,fotograf,prezantues etj)</t>
  </si>
  <si>
    <t>Qiraja</t>
  </si>
  <si>
    <t>Mirembajtja e webfaqes</t>
  </si>
  <si>
    <t>Sigurimi shendetesor</t>
  </si>
  <si>
    <t>Sigurimi I zyres</t>
  </si>
  <si>
    <t>Sherbime te kontabilitetit</t>
  </si>
  <si>
    <t>Shpenzime te rrymes</t>
  </si>
  <si>
    <t>Shpenzime te ujit</t>
  </si>
  <si>
    <t>Paisje per zyre</t>
  </si>
  <si>
    <t>Ushqim dhe pije</t>
  </si>
  <si>
    <t>Telefonia mujore</t>
  </si>
  <si>
    <t>Shpenzime te taksit</t>
  </si>
  <si>
    <t>Email Marketing</t>
  </si>
  <si>
    <t>Kuvendi i Punës i FBK-së  &amp; Kuvendi Statutar</t>
  </si>
  <si>
    <t>Kompenzimi bazë - Menaxheri për Marketing</t>
  </si>
  <si>
    <t>Kompenzimi bazë Komesari i Garave të Kategorive të Reja</t>
  </si>
  <si>
    <t>Kompenzimi bazë Këshilltari i Jashtëm Ligjor</t>
  </si>
  <si>
    <t>Kompenzimi bazë Mirëmabjtësi i hapësirave të Zyrës Ekzekutive</t>
  </si>
  <si>
    <t>Kompenzimi bazë Zyrtari për Financa</t>
  </si>
  <si>
    <t>Totali i Organizimeve të FBK-së</t>
  </si>
  <si>
    <t>EVENTET / PROJEKTET KOMBËTARE</t>
  </si>
  <si>
    <t>ORGANIZIMET NDËRKOMBËTARE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</si>
</sst>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8" tint="-0.499984740745262"/>
      <name val="Arial"/>
      <family val="2"/>
    </font>
    <font>
      <b/>
      <sz val="11"/>
      <color theme="8" tint="-0.499984740745262"/>
      <name val="Arial"/>
      <family val="2"/>
    </font>
    <font>
      <b/>
      <sz val="22"/>
      <color theme="8" tint="-0.499984740745262"/>
      <name val="Arial"/>
      <family val="2"/>
    </font>
    <font>
      <b/>
      <sz val="11"/>
      <color theme="2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4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2060"/>
      </bottom>
      <diagonal/>
    </border>
    <border>
      <left style="double">
        <color rgb="FF002060"/>
      </left>
      <right style="thin">
        <color indexed="64"/>
      </right>
      <top style="double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2060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double">
        <color rgb="FF002060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/>
      <bottom/>
      <diagonal/>
    </border>
    <border>
      <left style="double">
        <color rgb="FF002060"/>
      </left>
      <right style="thin">
        <color indexed="64"/>
      </right>
      <top/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thin">
        <color indexed="64"/>
      </right>
      <top style="double">
        <color rgb="FF002060"/>
      </top>
      <bottom style="double">
        <color rgb="FF002060"/>
      </bottom>
      <diagonal/>
    </border>
    <border>
      <left style="thin">
        <color indexed="64"/>
      </left>
      <right style="double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00206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double">
        <color rgb="FF002060"/>
      </left>
      <right style="thin">
        <color indexed="64"/>
      </right>
      <top style="thin">
        <color theme="2"/>
      </top>
      <bottom/>
      <diagonal/>
    </border>
    <border>
      <left style="double">
        <color rgb="FF002060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rgb="FF002060"/>
      </top>
      <bottom/>
      <diagonal/>
    </border>
    <border>
      <left style="double">
        <color rgb="FF002060"/>
      </left>
      <right style="thin">
        <color indexed="64"/>
      </right>
      <top style="double">
        <color rgb="FF002060"/>
      </top>
      <bottom/>
      <diagonal/>
    </border>
    <border>
      <left style="double">
        <color rgb="FF00206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2" fillId="0" borderId="0" xfId="0" applyFont="1"/>
    <xf numFmtId="0" fontId="4" fillId="2" borderId="19" xfId="0" applyFont="1" applyFill="1" applyBorder="1" applyAlignment="1">
      <alignment horizontal="center" vertical="center" wrapText="1"/>
    </xf>
    <xf numFmtId="164" fontId="1" fillId="0" borderId="2" xfId="0" applyNumberFormat="1" applyFont="1" applyBorder="1"/>
    <xf numFmtId="164" fontId="2" fillId="0" borderId="16" xfId="0" applyNumberFormat="1" applyFont="1" applyBorder="1"/>
    <xf numFmtId="164" fontId="1" fillId="5" borderId="2" xfId="0" applyNumberFormat="1" applyFont="1" applyFill="1" applyBorder="1"/>
    <xf numFmtId="0" fontId="2" fillId="4" borderId="8" xfId="0" applyFont="1" applyFill="1" applyBorder="1" applyAlignment="1">
      <alignment horizontal="left" wrapText="1"/>
    </xf>
    <xf numFmtId="164" fontId="2" fillId="4" borderId="18" xfId="0" applyNumberFormat="1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64" fontId="5" fillId="5" borderId="1" xfId="0" applyNumberFormat="1" applyFont="1" applyFill="1" applyBorder="1"/>
    <xf numFmtId="164" fontId="6" fillId="5" borderId="1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164" fontId="1" fillId="5" borderId="10" xfId="0" applyNumberFormat="1" applyFont="1" applyFill="1" applyBorder="1"/>
    <xf numFmtId="164" fontId="2" fillId="0" borderId="11" xfId="0" applyNumberFormat="1" applyFont="1" applyBorder="1"/>
    <xf numFmtId="164" fontId="1" fillId="5" borderId="1" xfId="0" applyNumberFormat="1" applyFont="1" applyFill="1" applyBorder="1"/>
    <xf numFmtId="0" fontId="7" fillId="0" borderId="0" xfId="0" applyFont="1"/>
    <xf numFmtId="164" fontId="1" fillId="5" borderId="17" xfId="0" applyNumberFormat="1" applyFont="1" applyFill="1" applyBorder="1"/>
    <xf numFmtId="164" fontId="2" fillId="0" borderId="26" xfId="0" applyNumberFormat="1" applyFont="1" applyBorder="1"/>
    <xf numFmtId="164" fontId="2" fillId="5" borderId="0" xfId="0" applyNumberFormat="1" applyFont="1" applyFill="1" applyAlignment="1">
      <alignment wrapText="1"/>
    </xf>
    <xf numFmtId="0" fontId="1" fillId="0" borderId="14" xfId="0" applyFont="1" applyBorder="1"/>
    <xf numFmtId="0" fontId="1" fillId="0" borderId="22" xfId="0" applyFont="1" applyBorder="1"/>
    <xf numFmtId="164" fontId="5" fillId="0" borderId="1" xfId="0" applyNumberFormat="1" applyFont="1" applyBorder="1"/>
    <xf numFmtId="164" fontId="1" fillId="0" borderId="1" xfId="0" applyNumberFormat="1" applyFont="1" applyBorder="1"/>
    <xf numFmtId="164" fontId="6" fillId="0" borderId="11" xfId="0" applyNumberFormat="1" applyFont="1" applyBorder="1"/>
    <xf numFmtId="164" fontId="8" fillId="0" borderId="1" xfId="0" applyNumberFormat="1" applyFont="1" applyBorder="1"/>
    <xf numFmtId="164" fontId="8" fillId="5" borderId="1" xfId="0" applyNumberFormat="1" applyFont="1" applyFill="1" applyBorder="1"/>
    <xf numFmtId="164" fontId="8" fillId="5" borderId="6" xfId="0" applyNumberFormat="1" applyFont="1" applyFill="1" applyBorder="1"/>
    <xf numFmtId="164" fontId="8" fillId="5" borderId="2" xfId="0" applyNumberFormat="1" applyFont="1" applyFill="1" applyBorder="1"/>
    <xf numFmtId="164" fontId="1" fillId="5" borderId="6" xfId="0" applyNumberFormat="1" applyFont="1" applyFill="1" applyBorder="1"/>
    <xf numFmtId="164" fontId="9" fillId="2" borderId="1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" fillId="5" borderId="3" xfId="0" applyFont="1" applyFill="1" applyBorder="1" applyAlignment="1">
      <alignment horizontal="left"/>
    </xf>
    <xf numFmtId="164" fontId="1" fillId="5" borderId="4" xfId="0" applyNumberFormat="1" applyFont="1" applyFill="1" applyBorder="1"/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  <color rgb="FFDEA4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0</xdr:rowOff>
    </xdr:from>
    <xdr:to>
      <xdr:col>1</xdr:col>
      <xdr:colOff>4574340</xdr:colOff>
      <xdr:row>9</xdr:row>
      <xdr:rowOff>167449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14C2E-95E7-4C22-CED4-3C304DA08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821740" cy="17634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8"/>
  <sheetViews>
    <sheetView tabSelected="1" topLeftCell="H1" zoomScale="68" zoomScaleNormal="68" workbookViewId="0">
      <pane ySplit="10" topLeftCell="A150" activePane="bottomLeft" state="frozen"/>
      <selection pane="bottomLeft" activeCell="B115" sqref="B115"/>
    </sheetView>
  </sheetViews>
  <sheetFormatPr defaultColWidth="8.90625" defaultRowHeight="14" x14ac:dyDescent="0.3"/>
  <cols>
    <col min="1" max="1" width="25.54296875" style="1" customWidth="1"/>
    <col min="2" max="2" width="81.1796875" style="2" customWidth="1"/>
    <col min="3" max="3" width="24.36328125" style="1" customWidth="1"/>
    <col min="4" max="4" width="26" style="1" customWidth="1"/>
    <col min="5" max="5" width="25.54296875" style="1" customWidth="1"/>
    <col min="6" max="6" width="26.08984375" style="1" customWidth="1"/>
    <col min="7" max="7" width="24.54296875" style="1" customWidth="1"/>
    <col min="8" max="8" width="35.54296875" style="1" customWidth="1"/>
    <col min="9" max="9" width="24.453125" style="4" customWidth="1"/>
    <col min="10" max="16384" width="8.90625" style="1"/>
  </cols>
  <sheetData>
    <row r="2" spans="1:9" x14ac:dyDescent="0.3">
      <c r="H2" s="3">
        <f>C29/12</f>
        <v>0</v>
      </c>
    </row>
    <row r="4" spans="1:9" x14ac:dyDescent="0.3">
      <c r="C4" s="51" t="s">
        <v>71</v>
      </c>
      <c r="D4" s="51"/>
      <c r="E4" s="51"/>
      <c r="F4" s="51"/>
      <c r="G4" s="51"/>
    </row>
    <row r="5" spans="1:9" x14ac:dyDescent="0.3">
      <c r="C5" s="51"/>
      <c r="D5" s="51"/>
      <c r="E5" s="51"/>
      <c r="F5" s="51"/>
      <c r="G5" s="51"/>
    </row>
    <row r="6" spans="1:9" x14ac:dyDescent="0.3">
      <c r="C6" s="51"/>
      <c r="D6" s="51"/>
      <c r="E6" s="51"/>
      <c r="F6" s="51"/>
      <c r="G6" s="51"/>
      <c r="H6" s="3"/>
    </row>
    <row r="10" spans="1:9" ht="37.25" customHeight="1" x14ac:dyDescent="0.3">
      <c r="A10" s="5" t="s">
        <v>8</v>
      </c>
      <c r="B10" s="5" t="s">
        <v>9</v>
      </c>
      <c r="C10" s="5" t="s">
        <v>0</v>
      </c>
      <c r="D10" s="5" t="s">
        <v>1</v>
      </c>
      <c r="E10" s="5" t="s">
        <v>2</v>
      </c>
      <c r="F10" s="5" t="s">
        <v>3</v>
      </c>
      <c r="G10" s="5" t="s">
        <v>4</v>
      </c>
      <c r="H10" s="5" t="s">
        <v>5</v>
      </c>
      <c r="I10" s="5" t="s">
        <v>19</v>
      </c>
    </row>
    <row r="11" spans="1:9" x14ac:dyDescent="0.3">
      <c r="A11" s="54" t="s">
        <v>6</v>
      </c>
      <c r="B11" s="37" t="s">
        <v>134</v>
      </c>
      <c r="C11" s="38">
        <v>21064.679999999997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7">
        <f t="shared" ref="I11:I26" si="0">SUM(C11:H11)</f>
        <v>21064.679999999997</v>
      </c>
    </row>
    <row r="12" spans="1:9" x14ac:dyDescent="0.3">
      <c r="A12" s="47"/>
      <c r="B12" s="39" t="s">
        <v>135</v>
      </c>
      <c r="C12" s="8">
        <v>0</v>
      </c>
      <c r="D12" s="8">
        <v>0</v>
      </c>
      <c r="E12" s="8">
        <v>7800</v>
      </c>
      <c r="F12" s="8">
        <v>0</v>
      </c>
      <c r="G12" s="8">
        <v>0</v>
      </c>
      <c r="H12" s="8">
        <v>0</v>
      </c>
      <c r="I12" s="7">
        <f t="shared" si="0"/>
        <v>7800</v>
      </c>
    </row>
    <row r="13" spans="1:9" x14ac:dyDescent="0.3">
      <c r="A13" s="47"/>
      <c r="B13" s="39" t="s">
        <v>136</v>
      </c>
      <c r="C13" s="8">
        <v>0</v>
      </c>
      <c r="D13" s="8">
        <v>0</v>
      </c>
      <c r="E13" s="8">
        <v>0</v>
      </c>
      <c r="F13" s="8">
        <v>0</v>
      </c>
      <c r="G13" s="8">
        <v>6000</v>
      </c>
      <c r="H13" s="8">
        <v>0</v>
      </c>
      <c r="I13" s="7">
        <f t="shared" si="0"/>
        <v>6000</v>
      </c>
    </row>
    <row r="14" spans="1:9" x14ac:dyDescent="0.3">
      <c r="A14" s="47"/>
      <c r="B14" s="39" t="s">
        <v>137</v>
      </c>
      <c r="C14" s="8">
        <v>0</v>
      </c>
      <c r="D14" s="8">
        <v>0</v>
      </c>
      <c r="E14" s="8">
        <v>0</v>
      </c>
      <c r="F14" s="8">
        <v>0</v>
      </c>
      <c r="G14" s="8">
        <v>360</v>
      </c>
      <c r="H14" s="8">
        <v>0</v>
      </c>
      <c r="I14" s="7">
        <f t="shared" si="0"/>
        <v>360</v>
      </c>
    </row>
    <row r="15" spans="1:9" x14ac:dyDescent="0.3">
      <c r="A15" s="47"/>
      <c r="B15" s="39" t="s">
        <v>138</v>
      </c>
      <c r="C15" s="8">
        <v>4800</v>
      </c>
      <c r="D15" s="8">
        <v>0</v>
      </c>
      <c r="E15" s="8">
        <v>0</v>
      </c>
      <c r="F15" s="8">
        <v>0</v>
      </c>
      <c r="G15" s="8">
        <v>120</v>
      </c>
      <c r="H15" s="8">
        <v>0</v>
      </c>
      <c r="I15" s="7">
        <f t="shared" si="0"/>
        <v>4920</v>
      </c>
    </row>
    <row r="16" spans="1:9" x14ac:dyDescent="0.3">
      <c r="A16" s="47"/>
      <c r="B16" s="40" t="s">
        <v>139</v>
      </c>
      <c r="C16" s="8">
        <v>0</v>
      </c>
      <c r="D16" s="8">
        <v>0</v>
      </c>
      <c r="E16" s="8">
        <v>0</v>
      </c>
      <c r="F16" s="8">
        <v>0</v>
      </c>
      <c r="G16" s="8">
        <v>6150</v>
      </c>
      <c r="H16" s="8">
        <v>0</v>
      </c>
      <c r="I16" s="7">
        <f t="shared" si="0"/>
        <v>6150</v>
      </c>
    </row>
    <row r="17" spans="1:9" x14ac:dyDescent="0.3">
      <c r="A17" s="47"/>
      <c r="B17" s="40" t="s">
        <v>140</v>
      </c>
      <c r="C17" s="8">
        <v>0</v>
      </c>
      <c r="D17" s="8">
        <v>0</v>
      </c>
      <c r="E17" s="8">
        <v>0</v>
      </c>
      <c r="F17" s="8">
        <v>0</v>
      </c>
      <c r="G17" s="8">
        <v>120</v>
      </c>
      <c r="H17" s="8">
        <v>0</v>
      </c>
      <c r="I17" s="7">
        <f t="shared" si="0"/>
        <v>120</v>
      </c>
    </row>
    <row r="18" spans="1:9" x14ac:dyDescent="0.3">
      <c r="A18" s="47"/>
      <c r="B18" s="40" t="s">
        <v>10</v>
      </c>
      <c r="C18" s="8">
        <v>0</v>
      </c>
      <c r="D18" s="8">
        <f>40363.56-3548.05-15000-8920</f>
        <v>12895.509999999995</v>
      </c>
      <c r="E18" s="8">
        <f>3548.05+15000+8920</f>
        <v>27468.05</v>
      </c>
      <c r="F18" s="8">
        <v>0</v>
      </c>
      <c r="G18" s="8">
        <v>0</v>
      </c>
      <c r="H18" s="8">
        <v>0</v>
      </c>
      <c r="I18" s="7">
        <f t="shared" si="0"/>
        <v>40363.56</v>
      </c>
    </row>
    <row r="19" spans="1:9" x14ac:dyDescent="0.3">
      <c r="A19" s="47"/>
      <c r="B19" s="40" t="s">
        <v>141</v>
      </c>
      <c r="C19" s="8">
        <v>3200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7">
        <f t="shared" si="0"/>
        <v>3200</v>
      </c>
    </row>
    <row r="20" spans="1:9" x14ac:dyDescent="0.3">
      <c r="A20" s="47"/>
      <c r="B20" s="40" t="s">
        <v>142</v>
      </c>
      <c r="C20" s="8">
        <v>0</v>
      </c>
      <c r="D20" s="8">
        <v>0</v>
      </c>
      <c r="E20" s="8">
        <v>0</v>
      </c>
      <c r="F20" s="8">
        <v>0</v>
      </c>
      <c r="G20" s="8">
        <v>4800</v>
      </c>
      <c r="H20" s="8">
        <v>0</v>
      </c>
      <c r="I20" s="7">
        <f t="shared" si="0"/>
        <v>4800</v>
      </c>
    </row>
    <row r="21" spans="1:9" x14ac:dyDescent="0.3">
      <c r="A21" s="47"/>
      <c r="B21" s="40" t="s">
        <v>143</v>
      </c>
      <c r="C21" s="8">
        <v>0</v>
      </c>
      <c r="D21" s="8">
        <v>0</v>
      </c>
      <c r="E21" s="8">
        <v>0</v>
      </c>
      <c r="F21" s="8">
        <v>0</v>
      </c>
      <c r="G21" s="8">
        <v>2400</v>
      </c>
      <c r="H21" s="8">
        <v>0</v>
      </c>
      <c r="I21" s="7">
        <f t="shared" si="0"/>
        <v>2400</v>
      </c>
    </row>
    <row r="22" spans="1:9" x14ac:dyDescent="0.3">
      <c r="A22" s="47"/>
      <c r="B22" s="40" t="s">
        <v>144</v>
      </c>
      <c r="C22" s="8">
        <v>0</v>
      </c>
      <c r="D22" s="8">
        <v>0</v>
      </c>
      <c r="E22" s="8">
        <v>4900</v>
      </c>
      <c r="F22" s="8">
        <v>0</v>
      </c>
      <c r="G22" s="8">
        <v>0</v>
      </c>
      <c r="H22" s="8">
        <v>0</v>
      </c>
      <c r="I22" s="7">
        <f t="shared" si="0"/>
        <v>4900</v>
      </c>
    </row>
    <row r="23" spans="1:9" x14ac:dyDescent="0.3">
      <c r="A23" s="47"/>
      <c r="B23" s="41" t="s">
        <v>49</v>
      </c>
      <c r="C23" s="8">
        <v>0</v>
      </c>
      <c r="D23" s="8">
        <v>0</v>
      </c>
      <c r="E23" s="8">
        <v>6360</v>
      </c>
      <c r="F23" s="8">
        <v>0</v>
      </c>
      <c r="G23" s="8">
        <v>0</v>
      </c>
      <c r="H23" s="8">
        <v>0</v>
      </c>
      <c r="I23" s="7">
        <f t="shared" si="0"/>
        <v>6360</v>
      </c>
    </row>
    <row r="24" spans="1:9" ht="17.399999999999999" customHeight="1" x14ac:dyDescent="0.3">
      <c r="A24" s="47"/>
      <c r="B24" s="41" t="s">
        <v>145</v>
      </c>
      <c r="C24" s="8">
        <v>0</v>
      </c>
      <c r="D24" s="8">
        <v>0</v>
      </c>
      <c r="E24" s="8">
        <v>11328</v>
      </c>
      <c r="F24" s="8">
        <v>0</v>
      </c>
      <c r="G24" s="8">
        <v>0</v>
      </c>
      <c r="H24" s="8">
        <v>0</v>
      </c>
      <c r="I24" s="7">
        <f t="shared" si="0"/>
        <v>11328</v>
      </c>
    </row>
    <row r="25" spans="1:9" x14ac:dyDescent="0.3">
      <c r="A25" s="47"/>
      <c r="B25" s="41" t="s">
        <v>11</v>
      </c>
      <c r="C25" s="8">
        <v>0</v>
      </c>
      <c r="D25" s="8">
        <v>0</v>
      </c>
      <c r="E25" s="8">
        <v>7300</v>
      </c>
      <c r="F25" s="8">
        <v>0</v>
      </c>
      <c r="G25" s="8">
        <f>13233.76-7300</f>
        <v>5933.76</v>
      </c>
      <c r="H25" s="8">
        <v>0</v>
      </c>
      <c r="I25" s="7">
        <f t="shared" si="0"/>
        <v>13233.76</v>
      </c>
    </row>
    <row r="26" spans="1:9" x14ac:dyDescent="0.3">
      <c r="A26" s="47"/>
      <c r="B26" s="41" t="s">
        <v>50</v>
      </c>
      <c r="C26" s="8">
        <v>2200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7">
        <f t="shared" si="0"/>
        <v>2200</v>
      </c>
    </row>
    <row r="27" spans="1:9" ht="14.5" thickBot="1" x14ac:dyDescent="0.35">
      <c r="A27" s="48"/>
      <c r="B27" s="9" t="s">
        <v>57</v>
      </c>
      <c r="C27" s="10">
        <f t="shared" ref="C27:I27" si="1">SUM(C11:C26)</f>
        <v>31264.679999999997</v>
      </c>
      <c r="D27" s="10">
        <f t="shared" si="1"/>
        <v>12895.509999999995</v>
      </c>
      <c r="E27" s="10">
        <f t="shared" si="1"/>
        <v>65156.05</v>
      </c>
      <c r="F27" s="10">
        <f t="shared" si="1"/>
        <v>0</v>
      </c>
      <c r="G27" s="10">
        <f t="shared" si="1"/>
        <v>25883.760000000002</v>
      </c>
      <c r="H27" s="10">
        <f t="shared" si="1"/>
        <v>0</v>
      </c>
      <c r="I27" s="10">
        <f t="shared" si="1"/>
        <v>135200</v>
      </c>
    </row>
    <row r="28" spans="1:9" ht="15" thickTop="1" thickBot="1" x14ac:dyDescent="0.35">
      <c r="A28" s="42"/>
      <c r="B28" s="42"/>
      <c r="C28" s="42"/>
      <c r="D28" s="42"/>
      <c r="E28" s="42"/>
      <c r="F28" s="42"/>
      <c r="G28" s="42"/>
      <c r="H28" s="43"/>
    </row>
    <row r="29" spans="1:9" ht="14.4" customHeight="1" thickTop="1" thickBot="1" x14ac:dyDescent="0.35">
      <c r="A29" s="55" t="s">
        <v>7</v>
      </c>
      <c r="B29" s="13" t="s">
        <v>73</v>
      </c>
      <c r="C29" s="14">
        <v>0</v>
      </c>
      <c r="D29" s="6">
        <v>0</v>
      </c>
      <c r="E29" s="8">
        <f>2485.4646*12-5600</f>
        <v>24225.575199999999</v>
      </c>
      <c r="F29" s="6">
        <v>0</v>
      </c>
      <c r="G29" s="6">
        <v>0</v>
      </c>
      <c r="H29" s="6">
        <v>0</v>
      </c>
      <c r="I29" s="15">
        <f t="shared" ref="I29:I48" si="2">SUM(C29:H29)</f>
        <v>24225.575199999999</v>
      </c>
    </row>
    <row r="30" spans="1:9" ht="14.4" customHeight="1" thickTop="1" thickBot="1" x14ac:dyDescent="0.35">
      <c r="A30" s="56"/>
      <c r="B30" s="16" t="s">
        <v>74</v>
      </c>
      <c r="C30" s="8">
        <v>0</v>
      </c>
      <c r="D30" s="6">
        <v>0</v>
      </c>
      <c r="E30" s="8">
        <f>12*1437.5</f>
        <v>17250</v>
      </c>
      <c r="F30" s="6">
        <v>0</v>
      </c>
      <c r="G30" s="6">
        <v>0</v>
      </c>
      <c r="H30" s="6">
        <v>0</v>
      </c>
      <c r="I30" s="15">
        <f t="shared" si="2"/>
        <v>17250</v>
      </c>
    </row>
    <row r="31" spans="1:9" ht="14.4" customHeight="1" thickTop="1" thickBot="1" x14ac:dyDescent="0.35">
      <c r="A31" s="56"/>
      <c r="B31" s="16" t="s">
        <v>75</v>
      </c>
      <c r="C31" s="8">
        <v>0</v>
      </c>
      <c r="D31" s="6">
        <v>5600</v>
      </c>
      <c r="E31" s="8">
        <v>0</v>
      </c>
      <c r="F31" s="6">
        <v>0</v>
      </c>
      <c r="G31" s="6">
        <v>0</v>
      </c>
      <c r="H31" s="6">
        <f>12*1725-5600</f>
        <v>15100</v>
      </c>
      <c r="I31" s="15">
        <f t="shared" si="2"/>
        <v>20700</v>
      </c>
    </row>
    <row r="32" spans="1:9" ht="14.4" customHeight="1" thickTop="1" thickBot="1" x14ac:dyDescent="0.35">
      <c r="A32" s="56"/>
      <c r="B32" s="16" t="s">
        <v>76</v>
      </c>
      <c r="C32" s="8">
        <v>0</v>
      </c>
      <c r="D32" s="6">
        <v>0</v>
      </c>
      <c r="E32" s="8">
        <f>12*1615.35-7800</f>
        <v>11584.199999999997</v>
      </c>
      <c r="F32" s="6">
        <v>0</v>
      </c>
      <c r="G32" s="6">
        <v>0</v>
      </c>
      <c r="H32" s="6">
        <v>0</v>
      </c>
      <c r="I32" s="15">
        <f t="shared" si="2"/>
        <v>11584.199999999997</v>
      </c>
    </row>
    <row r="33" spans="1:9" ht="14.4" customHeight="1" thickTop="1" thickBot="1" x14ac:dyDescent="0.35">
      <c r="A33" s="56"/>
      <c r="B33" s="16" t="s">
        <v>77</v>
      </c>
      <c r="C33" s="8">
        <v>0</v>
      </c>
      <c r="D33" s="6">
        <v>0</v>
      </c>
      <c r="E33" s="8">
        <f>12*1242-2800</f>
        <v>12104</v>
      </c>
      <c r="F33" s="6">
        <v>0</v>
      </c>
      <c r="G33" s="6">
        <v>0</v>
      </c>
      <c r="H33" s="6">
        <v>0</v>
      </c>
      <c r="I33" s="15">
        <f t="shared" si="2"/>
        <v>12104</v>
      </c>
    </row>
    <row r="34" spans="1:9" ht="14.4" customHeight="1" thickTop="1" thickBot="1" x14ac:dyDescent="0.35">
      <c r="A34" s="56"/>
      <c r="B34" s="16" t="s">
        <v>78</v>
      </c>
      <c r="C34" s="8">
        <v>0</v>
      </c>
      <c r="D34" s="6">
        <v>0</v>
      </c>
      <c r="E34" s="8">
        <v>0</v>
      </c>
      <c r="F34" s="6">
        <f>12*600</f>
        <v>7200</v>
      </c>
      <c r="G34" s="6">
        <v>0</v>
      </c>
      <c r="H34" s="6">
        <v>0</v>
      </c>
      <c r="I34" s="15">
        <f t="shared" si="2"/>
        <v>7200</v>
      </c>
    </row>
    <row r="35" spans="1:9" ht="14.4" customHeight="1" thickTop="1" thickBot="1" x14ac:dyDescent="0.35">
      <c r="A35" s="56"/>
      <c r="B35" s="16" t="s">
        <v>79</v>
      </c>
      <c r="C35" s="8">
        <v>0</v>
      </c>
      <c r="D35" s="6">
        <v>0</v>
      </c>
      <c r="E35" s="8">
        <f>12*840</f>
        <v>10080</v>
      </c>
      <c r="F35" s="6">
        <v>0</v>
      </c>
      <c r="G35" s="6">
        <v>0</v>
      </c>
      <c r="H35" s="6">
        <v>0</v>
      </c>
      <c r="I35" s="15">
        <f t="shared" si="2"/>
        <v>10080</v>
      </c>
    </row>
    <row r="36" spans="1:9" ht="14.4" customHeight="1" thickTop="1" thickBot="1" x14ac:dyDescent="0.35">
      <c r="A36" s="56"/>
      <c r="B36" s="16" t="s">
        <v>80</v>
      </c>
      <c r="C36" s="8">
        <v>0</v>
      </c>
      <c r="D36" s="6">
        <v>0</v>
      </c>
      <c r="E36" s="8">
        <f>12*900</f>
        <v>10800</v>
      </c>
      <c r="F36" s="6">
        <v>0</v>
      </c>
      <c r="G36" s="6">
        <v>0</v>
      </c>
      <c r="H36" s="6">
        <v>0</v>
      </c>
      <c r="I36" s="15">
        <f t="shared" si="2"/>
        <v>10800</v>
      </c>
    </row>
    <row r="37" spans="1:9" ht="14.4" customHeight="1" thickTop="1" thickBot="1" x14ac:dyDescent="0.35">
      <c r="A37" s="56"/>
      <c r="B37" s="16" t="s">
        <v>147</v>
      </c>
      <c r="C37" s="8">
        <v>0</v>
      </c>
      <c r="D37" s="6">
        <v>0</v>
      </c>
      <c r="E37" s="8">
        <f>12*700</f>
        <v>8400</v>
      </c>
      <c r="F37" s="6">
        <v>0</v>
      </c>
      <c r="G37" s="6">
        <v>0</v>
      </c>
      <c r="H37" s="6">
        <v>0</v>
      </c>
      <c r="I37" s="15">
        <f t="shared" si="2"/>
        <v>8400</v>
      </c>
    </row>
    <row r="38" spans="1:9" ht="15" customHeight="1" thickTop="1" thickBot="1" x14ac:dyDescent="0.35">
      <c r="A38" s="56"/>
      <c r="B38" s="16" t="s">
        <v>81</v>
      </c>
      <c r="C38" s="8">
        <v>6600</v>
      </c>
      <c r="D38" s="6">
        <v>0</v>
      </c>
      <c r="E38" s="8">
        <v>0</v>
      </c>
      <c r="F38" s="6">
        <v>0</v>
      </c>
      <c r="G38" s="6">
        <v>0</v>
      </c>
      <c r="H38" s="6">
        <v>0</v>
      </c>
      <c r="I38" s="15">
        <f t="shared" si="2"/>
        <v>6600</v>
      </c>
    </row>
    <row r="39" spans="1:9" ht="15" customHeight="1" thickTop="1" thickBot="1" x14ac:dyDescent="0.35">
      <c r="A39" s="56"/>
      <c r="B39" s="16" t="s">
        <v>82</v>
      </c>
      <c r="C39" s="8">
        <v>0</v>
      </c>
      <c r="D39" s="6">
        <v>0</v>
      </c>
      <c r="E39" s="8">
        <f>12*840</f>
        <v>10080</v>
      </c>
      <c r="F39" s="6">
        <v>0</v>
      </c>
      <c r="G39" s="6">
        <v>0</v>
      </c>
      <c r="H39" s="6">
        <v>0</v>
      </c>
      <c r="I39" s="15">
        <f t="shared" si="2"/>
        <v>10080</v>
      </c>
    </row>
    <row r="40" spans="1:9" ht="15" customHeight="1" thickTop="1" thickBot="1" x14ac:dyDescent="0.35">
      <c r="A40" s="56"/>
      <c r="B40" s="16" t="s">
        <v>148</v>
      </c>
      <c r="C40" s="8">
        <v>0</v>
      </c>
      <c r="D40" s="6">
        <v>0</v>
      </c>
      <c r="E40" s="8">
        <f>12*550</f>
        <v>6600</v>
      </c>
      <c r="F40" s="6">
        <v>0</v>
      </c>
      <c r="G40" s="6">
        <v>0</v>
      </c>
      <c r="H40" s="6">
        <v>0</v>
      </c>
      <c r="I40" s="15">
        <f t="shared" si="2"/>
        <v>6600</v>
      </c>
    </row>
    <row r="41" spans="1:9" ht="15" customHeight="1" thickTop="1" thickBot="1" x14ac:dyDescent="0.35">
      <c r="A41" s="56"/>
      <c r="B41" s="16" t="s">
        <v>149</v>
      </c>
      <c r="C41" s="8">
        <f>12*450</f>
        <v>5400</v>
      </c>
      <c r="D41" s="6">
        <v>0</v>
      </c>
      <c r="E41" s="8">
        <v>0</v>
      </c>
      <c r="F41" s="6">
        <v>0</v>
      </c>
      <c r="G41" s="6">
        <v>0</v>
      </c>
      <c r="H41" s="6">
        <v>0</v>
      </c>
      <c r="I41" s="15">
        <f t="shared" si="2"/>
        <v>5400</v>
      </c>
    </row>
    <row r="42" spans="1:9" ht="14.4" customHeight="1" thickTop="1" thickBot="1" x14ac:dyDescent="0.35">
      <c r="A42" s="56"/>
      <c r="B42" s="17" t="s">
        <v>150</v>
      </c>
      <c r="C42" s="8">
        <f>12*330.48</f>
        <v>3965.76</v>
      </c>
      <c r="D42" s="6">
        <v>0</v>
      </c>
      <c r="E42" s="8">
        <v>0</v>
      </c>
      <c r="F42" s="6">
        <v>0</v>
      </c>
      <c r="G42" s="6">
        <v>0</v>
      </c>
      <c r="H42" s="6">
        <v>0</v>
      </c>
      <c r="I42" s="15">
        <f t="shared" si="2"/>
        <v>3965.76</v>
      </c>
    </row>
    <row r="43" spans="1:9" ht="14.4" customHeight="1" thickTop="1" thickBot="1" x14ac:dyDescent="0.35">
      <c r="A43" s="56"/>
      <c r="B43" s="17" t="s">
        <v>151</v>
      </c>
      <c r="C43" s="8">
        <f>12*350</f>
        <v>4200</v>
      </c>
      <c r="D43" s="6">
        <v>0</v>
      </c>
      <c r="E43" s="8">
        <v>0</v>
      </c>
      <c r="F43" s="6">
        <v>0</v>
      </c>
      <c r="G43" s="6">
        <v>0</v>
      </c>
      <c r="H43" s="6">
        <v>0</v>
      </c>
      <c r="I43" s="15">
        <f t="shared" si="2"/>
        <v>4200</v>
      </c>
    </row>
    <row r="44" spans="1:9" ht="14.4" customHeight="1" thickTop="1" thickBot="1" x14ac:dyDescent="0.35">
      <c r="A44" s="56"/>
      <c r="B44" s="17" t="s">
        <v>83</v>
      </c>
      <c r="C44" s="8">
        <v>0</v>
      </c>
      <c r="D44" s="6">
        <v>0</v>
      </c>
      <c r="E44" s="8">
        <v>0</v>
      </c>
      <c r="F44" s="6">
        <v>2800</v>
      </c>
      <c r="G44" s="6">
        <v>0</v>
      </c>
      <c r="H44" s="6">
        <v>0</v>
      </c>
      <c r="I44" s="15">
        <f t="shared" si="2"/>
        <v>2800</v>
      </c>
    </row>
    <row r="45" spans="1:9" ht="14.4" customHeight="1" thickTop="1" thickBot="1" x14ac:dyDescent="0.35">
      <c r="A45" s="56"/>
      <c r="B45" s="17" t="s">
        <v>84</v>
      </c>
      <c r="C45" s="8">
        <v>0</v>
      </c>
      <c r="D45" s="6">
        <v>0</v>
      </c>
      <c r="E45" s="8">
        <v>0</v>
      </c>
      <c r="F45" s="6">
        <v>7800</v>
      </c>
      <c r="G45" s="6">
        <v>0</v>
      </c>
      <c r="H45" s="6">
        <v>0</v>
      </c>
      <c r="I45" s="15">
        <f t="shared" si="2"/>
        <v>7800</v>
      </c>
    </row>
    <row r="46" spans="1:9" ht="14.4" customHeight="1" thickTop="1" thickBot="1" x14ac:dyDescent="0.35">
      <c r="A46" s="56"/>
      <c r="B46" s="16" t="s">
        <v>85</v>
      </c>
      <c r="C46" s="8">
        <v>0</v>
      </c>
      <c r="D46" s="6">
        <v>0</v>
      </c>
      <c r="E46" s="8">
        <v>0</v>
      </c>
      <c r="F46" s="6">
        <v>5600</v>
      </c>
      <c r="G46" s="6">
        <v>0</v>
      </c>
      <c r="H46" s="6">
        <v>0</v>
      </c>
      <c r="I46" s="15">
        <f t="shared" si="2"/>
        <v>5600</v>
      </c>
    </row>
    <row r="47" spans="1:9" ht="14.4" customHeight="1" thickTop="1" thickBot="1" x14ac:dyDescent="0.35">
      <c r="A47" s="56"/>
      <c r="B47" s="16" t="s">
        <v>72</v>
      </c>
      <c r="C47" s="8">
        <v>15000</v>
      </c>
      <c r="D47" s="6">
        <v>0</v>
      </c>
      <c r="E47" s="8">
        <v>0</v>
      </c>
      <c r="F47" s="6">
        <v>0</v>
      </c>
      <c r="G47" s="6">
        <v>0</v>
      </c>
      <c r="H47" s="6">
        <v>0</v>
      </c>
      <c r="I47" s="15">
        <f t="shared" si="2"/>
        <v>15000</v>
      </c>
    </row>
    <row r="48" spans="1:9" ht="14.4" customHeight="1" thickTop="1" x14ac:dyDescent="0.3">
      <c r="A48" s="56"/>
      <c r="B48" s="16" t="s">
        <v>86</v>
      </c>
      <c r="C48" s="8">
        <v>0</v>
      </c>
      <c r="D48" s="6">
        <v>0</v>
      </c>
      <c r="E48" s="8">
        <f>30000+10996.74-0.567-30000</f>
        <v>10996.172999999995</v>
      </c>
      <c r="F48" s="6">
        <v>0</v>
      </c>
      <c r="G48" s="6">
        <v>30000</v>
      </c>
      <c r="H48" s="6">
        <v>0</v>
      </c>
      <c r="I48" s="15">
        <f t="shared" si="2"/>
        <v>40996.172999999995</v>
      </c>
    </row>
    <row r="49" spans="1:9" ht="15" customHeight="1" thickBot="1" x14ac:dyDescent="0.35">
      <c r="A49" s="57"/>
      <c r="B49" s="9" t="s">
        <v>58</v>
      </c>
      <c r="C49" s="10">
        <f t="shared" ref="C49:I49" si="3">SUM(C29:C48)</f>
        <v>35165.760000000002</v>
      </c>
      <c r="D49" s="10">
        <f t="shared" si="3"/>
        <v>5600</v>
      </c>
      <c r="E49" s="10">
        <f t="shared" si="3"/>
        <v>122119.9482</v>
      </c>
      <c r="F49" s="10">
        <f t="shared" si="3"/>
        <v>23400</v>
      </c>
      <c r="G49" s="10">
        <f t="shared" si="3"/>
        <v>30000</v>
      </c>
      <c r="H49" s="10">
        <f t="shared" si="3"/>
        <v>15100</v>
      </c>
      <c r="I49" s="10">
        <f t="shared" si="3"/>
        <v>231385.70819999999</v>
      </c>
    </row>
    <row r="50" spans="1:9" ht="15" customHeight="1" thickTop="1" thickBot="1" x14ac:dyDescent="0.35">
      <c r="A50" s="42"/>
      <c r="B50" s="42"/>
      <c r="C50" s="42"/>
      <c r="D50" s="42"/>
      <c r="E50" s="42"/>
      <c r="F50" s="42"/>
      <c r="G50" s="42"/>
      <c r="H50" s="43"/>
    </row>
    <row r="51" spans="1:9" ht="30" customHeight="1" thickTop="1" thickBot="1" x14ac:dyDescent="0.35">
      <c r="A51" s="44" t="s">
        <v>20</v>
      </c>
      <c r="B51" s="17" t="s">
        <v>95</v>
      </c>
      <c r="C51" s="6">
        <v>0</v>
      </c>
      <c r="D51" s="6">
        <v>0</v>
      </c>
      <c r="E51" s="18">
        <v>18972</v>
      </c>
      <c r="F51" s="6">
        <v>0</v>
      </c>
      <c r="G51" s="6">
        <v>0</v>
      </c>
      <c r="H51" s="6">
        <v>0</v>
      </c>
      <c r="I51" s="19">
        <f t="shared" ref="I51:I56" si="4">SUM(C51:H51)</f>
        <v>18972</v>
      </c>
    </row>
    <row r="52" spans="1:9" ht="30" customHeight="1" thickTop="1" thickBot="1" x14ac:dyDescent="0.35">
      <c r="A52" s="45"/>
      <c r="B52" s="17" t="s">
        <v>96</v>
      </c>
      <c r="C52" s="6">
        <f>30000</f>
        <v>30000</v>
      </c>
      <c r="D52" s="6">
        <v>0</v>
      </c>
      <c r="E52" s="20">
        <f>53940-30000</f>
        <v>23940</v>
      </c>
      <c r="F52" s="6">
        <v>0</v>
      </c>
      <c r="G52" s="6">
        <v>0</v>
      </c>
      <c r="H52" s="6">
        <v>0</v>
      </c>
      <c r="I52" s="19">
        <f t="shared" si="4"/>
        <v>53940</v>
      </c>
    </row>
    <row r="53" spans="1:9" ht="27" customHeight="1" thickTop="1" thickBot="1" x14ac:dyDescent="0.35">
      <c r="A53" s="45"/>
      <c r="B53" s="17" t="s">
        <v>97</v>
      </c>
      <c r="C53" s="8">
        <f>67350-17500-17500-6190-15000+20000</f>
        <v>31160</v>
      </c>
      <c r="D53" s="6">
        <v>0</v>
      </c>
      <c r="E53" s="20">
        <f>17500+17500+6190+15000-20000</f>
        <v>36190</v>
      </c>
      <c r="F53" s="6">
        <v>0</v>
      </c>
      <c r="G53" s="6">
        <v>0</v>
      </c>
      <c r="H53" s="6">
        <v>0</v>
      </c>
      <c r="I53" s="19">
        <f t="shared" si="4"/>
        <v>67350</v>
      </c>
    </row>
    <row r="54" spans="1:9" ht="14.4" customHeight="1" thickTop="1" thickBot="1" x14ac:dyDescent="0.35">
      <c r="A54" s="45"/>
      <c r="B54" s="16" t="s">
        <v>98</v>
      </c>
      <c r="C54" s="8">
        <f>39210-17500-17500+20000</f>
        <v>24210</v>
      </c>
      <c r="D54" s="6">
        <v>0</v>
      </c>
      <c r="E54" s="20">
        <f>17500+17500-20000</f>
        <v>15000</v>
      </c>
      <c r="F54" s="6">
        <v>0</v>
      </c>
      <c r="G54" s="6">
        <v>0</v>
      </c>
      <c r="H54" s="6">
        <v>0</v>
      </c>
      <c r="I54" s="19">
        <f t="shared" si="4"/>
        <v>39210</v>
      </c>
    </row>
    <row r="55" spans="1:9" s="21" customFormat="1" ht="33" customHeight="1" thickTop="1" x14ac:dyDescent="0.3">
      <c r="A55" s="45"/>
      <c r="B55" s="17" t="s">
        <v>109</v>
      </c>
      <c r="C55" s="20"/>
      <c r="D55" s="6">
        <v>0</v>
      </c>
      <c r="E55" s="20">
        <f>10000+2500+9724</f>
        <v>22224</v>
      </c>
      <c r="F55" s="6">
        <v>0</v>
      </c>
      <c r="G55" s="6">
        <v>0</v>
      </c>
      <c r="H55" s="6">
        <v>0</v>
      </c>
      <c r="I55" s="19">
        <f t="shared" si="4"/>
        <v>22224</v>
      </c>
    </row>
    <row r="56" spans="1:9" s="21" customFormat="1" ht="33" customHeight="1" x14ac:dyDescent="0.3">
      <c r="A56" s="45"/>
      <c r="B56" s="16" t="s">
        <v>130</v>
      </c>
      <c r="C56" s="6">
        <v>0</v>
      </c>
      <c r="D56" s="6">
        <v>0</v>
      </c>
      <c r="E56" s="22">
        <v>10150</v>
      </c>
      <c r="F56" s="6">
        <v>0</v>
      </c>
      <c r="G56" s="6">
        <v>0</v>
      </c>
      <c r="H56" s="6">
        <v>0</v>
      </c>
      <c r="I56" s="23">
        <f t="shared" si="4"/>
        <v>10150</v>
      </c>
    </row>
    <row r="57" spans="1:9" ht="15" customHeight="1" thickBot="1" x14ac:dyDescent="0.35">
      <c r="A57" s="45"/>
      <c r="B57" s="9" t="s">
        <v>59</v>
      </c>
      <c r="C57" s="10">
        <f>SUM(C51:C56)</f>
        <v>85370</v>
      </c>
      <c r="D57" s="10">
        <f t="shared" ref="D57:H57" si="5">SUM(D51:D56)</f>
        <v>0</v>
      </c>
      <c r="E57" s="10">
        <f t="shared" si="5"/>
        <v>126476</v>
      </c>
      <c r="F57" s="10">
        <f t="shared" si="5"/>
        <v>0</v>
      </c>
      <c r="G57" s="10">
        <f t="shared" si="5"/>
        <v>0</v>
      </c>
      <c r="H57" s="10">
        <f t="shared" si="5"/>
        <v>0</v>
      </c>
      <c r="I57" s="10">
        <f>SUM(I51:I56)</f>
        <v>211846</v>
      </c>
    </row>
    <row r="58" spans="1:9" ht="15" customHeight="1" thickTop="1" thickBot="1" x14ac:dyDescent="0.35">
      <c r="A58" s="42"/>
      <c r="B58" s="42"/>
      <c r="C58" s="42"/>
      <c r="D58" s="42"/>
      <c r="E58" s="42"/>
      <c r="F58" s="42"/>
      <c r="G58" s="42"/>
      <c r="H58" s="43"/>
      <c r="I58" s="24"/>
    </row>
    <row r="59" spans="1:9" ht="33" customHeight="1" thickTop="1" thickBot="1" x14ac:dyDescent="0.35">
      <c r="A59" s="44" t="s">
        <v>21</v>
      </c>
      <c r="B59" s="16" t="s">
        <v>99</v>
      </c>
      <c r="C59" s="20">
        <f>29596-2500-3500-8500-8500</f>
        <v>6596</v>
      </c>
      <c r="D59" s="6">
        <f>8500+8500</f>
        <v>17000</v>
      </c>
      <c r="E59" s="20">
        <f>2500+3500</f>
        <v>6000</v>
      </c>
      <c r="F59" s="6">
        <v>0</v>
      </c>
      <c r="G59" s="6">
        <v>0</v>
      </c>
      <c r="H59" s="6">
        <v>0</v>
      </c>
      <c r="I59" s="19">
        <f t="shared" ref="I59:I68" si="6">SUM(C59:H59)</f>
        <v>29596</v>
      </c>
    </row>
    <row r="60" spans="1:9" ht="28.75" customHeight="1" thickTop="1" thickBot="1" x14ac:dyDescent="0.35">
      <c r="A60" s="45"/>
      <c r="B60" s="16" t="s">
        <v>100</v>
      </c>
      <c r="C60" s="20">
        <f>27867-13000-8500-2500+7000</f>
        <v>10867</v>
      </c>
      <c r="D60" s="6">
        <v>0</v>
      </c>
      <c r="E60" s="20">
        <f>13000+8500+2500-7000</f>
        <v>17000</v>
      </c>
      <c r="F60" s="6">
        <v>0</v>
      </c>
      <c r="G60" s="6">
        <v>0</v>
      </c>
      <c r="H60" s="6">
        <v>0</v>
      </c>
      <c r="I60" s="19">
        <f t="shared" si="6"/>
        <v>27867</v>
      </c>
    </row>
    <row r="61" spans="1:9" ht="31.25" customHeight="1" thickTop="1" thickBot="1" x14ac:dyDescent="0.35">
      <c r="A61" s="45"/>
      <c r="B61" s="16" t="s">
        <v>101</v>
      </c>
      <c r="C61" s="8">
        <v>5000</v>
      </c>
      <c r="D61" s="6">
        <v>0</v>
      </c>
      <c r="E61" s="20">
        <f>23010-5000</f>
        <v>18010</v>
      </c>
      <c r="F61" s="6">
        <v>0</v>
      </c>
      <c r="G61" s="6">
        <v>0</v>
      </c>
      <c r="H61" s="6">
        <v>0</v>
      </c>
      <c r="I61" s="19">
        <f t="shared" si="6"/>
        <v>23010</v>
      </c>
    </row>
    <row r="62" spans="1:9" ht="31.25" customHeight="1" thickTop="1" thickBot="1" x14ac:dyDescent="0.35">
      <c r="A62" s="45"/>
      <c r="B62" s="16" t="s">
        <v>104</v>
      </c>
      <c r="C62" s="20">
        <f>27644-12000-7000-3500-2500+5000</f>
        <v>7644</v>
      </c>
      <c r="D62" s="6">
        <v>0</v>
      </c>
      <c r="E62" s="20">
        <f>12000+7000+3500+2500-5000</f>
        <v>20000</v>
      </c>
      <c r="F62" s="6">
        <v>0</v>
      </c>
      <c r="G62" s="6">
        <v>0</v>
      </c>
      <c r="H62" s="6">
        <v>0</v>
      </c>
      <c r="I62" s="19">
        <f t="shared" si="6"/>
        <v>27644</v>
      </c>
    </row>
    <row r="63" spans="1:9" ht="27.65" customHeight="1" thickTop="1" thickBot="1" x14ac:dyDescent="0.35">
      <c r="A63" s="45"/>
      <c r="B63" s="16" t="s">
        <v>102</v>
      </c>
      <c r="C63" s="20">
        <f>25744-13000-8500-2500+5000</f>
        <v>6744</v>
      </c>
      <c r="D63" s="6">
        <v>0</v>
      </c>
      <c r="E63" s="20">
        <f>13000+8500+2500-5000</f>
        <v>19000</v>
      </c>
      <c r="F63" s="6">
        <v>0</v>
      </c>
      <c r="G63" s="6">
        <v>0</v>
      </c>
      <c r="H63" s="6">
        <v>0</v>
      </c>
      <c r="I63" s="19">
        <f t="shared" si="6"/>
        <v>25744</v>
      </c>
    </row>
    <row r="64" spans="1:9" ht="36.65" customHeight="1" thickTop="1" thickBot="1" x14ac:dyDescent="0.35">
      <c r="A64" s="45"/>
      <c r="B64" s="16" t="s">
        <v>103</v>
      </c>
      <c r="C64" s="8">
        <f>25296-2500-3500-8500-8500</f>
        <v>2296</v>
      </c>
      <c r="D64" s="6">
        <f>8500+8500</f>
        <v>17000</v>
      </c>
      <c r="E64" s="20">
        <f>2500+3500</f>
        <v>6000</v>
      </c>
      <c r="F64" s="6">
        <v>0</v>
      </c>
      <c r="G64" s="6">
        <v>0</v>
      </c>
      <c r="H64" s="6">
        <v>0</v>
      </c>
      <c r="I64" s="19">
        <f t="shared" si="6"/>
        <v>25296</v>
      </c>
    </row>
    <row r="65" spans="1:9" ht="27.65" customHeight="1" thickTop="1" thickBot="1" x14ac:dyDescent="0.35">
      <c r="A65" s="45"/>
      <c r="B65" s="16" t="s">
        <v>105</v>
      </c>
      <c r="C65" s="8">
        <f>5000+2181</f>
        <v>7181</v>
      </c>
      <c r="D65" s="6">
        <v>0</v>
      </c>
      <c r="E65" s="20">
        <f>22160-5000-2181</f>
        <v>14979</v>
      </c>
      <c r="F65" s="6">
        <v>0</v>
      </c>
      <c r="G65" s="6">
        <v>0</v>
      </c>
      <c r="H65" s="6">
        <v>0</v>
      </c>
      <c r="I65" s="19">
        <f t="shared" si="6"/>
        <v>22160</v>
      </c>
    </row>
    <row r="66" spans="1:9" ht="27.65" customHeight="1" thickTop="1" thickBot="1" x14ac:dyDescent="0.35">
      <c r="A66" s="45"/>
      <c r="B66" s="16" t="s">
        <v>106</v>
      </c>
      <c r="C66" s="8">
        <v>0</v>
      </c>
      <c r="D66" s="6">
        <v>0</v>
      </c>
      <c r="E66" s="20">
        <v>4590</v>
      </c>
      <c r="F66" s="6">
        <v>0</v>
      </c>
      <c r="G66" s="6">
        <v>0</v>
      </c>
      <c r="H66" s="6">
        <v>0</v>
      </c>
      <c r="I66" s="19">
        <f t="shared" si="6"/>
        <v>4590</v>
      </c>
    </row>
    <row r="67" spans="1:9" ht="34.75" customHeight="1" thickTop="1" thickBot="1" x14ac:dyDescent="0.35">
      <c r="A67" s="45"/>
      <c r="B67" s="16" t="s">
        <v>107</v>
      </c>
      <c r="C67" s="8">
        <v>7286.99</v>
      </c>
      <c r="D67" s="6">
        <v>8500</v>
      </c>
      <c r="E67" s="20">
        <f>3500+2500</f>
        <v>6000</v>
      </c>
      <c r="F67" s="6">
        <v>0</v>
      </c>
      <c r="G67" s="6">
        <v>0</v>
      </c>
      <c r="H67" s="6">
        <f>10146-7286.99</f>
        <v>2859.01</v>
      </c>
      <c r="I67" s="19">
        <f t="shared" si="6"/>
        <v>24646</v>
      </c>
    </row>
    <row r="68" spans="1:9" ht="30.65" customHeight="1" thickTop="1" x14ac:dyDescent="0.3">
      <c r="A68" s="45"/>
      <c r="B68" s="16" t="s">
        <v>108</v>
      </c>
      <c r="C68" s="8">
        <f>21267-12000-7000+5000</f>
        <v>7267</v>
      </c>
      <c r="D68" s="6">
        <v>0</v>
      </c>
      <c r="E68" s="20">
        <f>12000+7000-5000</f>
        <v>14000</v>
      </c>
      <c r="F68" s="6">
        <v>0</v>
      </c>
      <c r="G68" s="6">
        <v>0</v>
      </c>
      <c r="H68" s="6">
        <v>0</v>
      </c>
      <c r="I68" s="19">
        <f t="shared" si="6"/>
        <v>21267</v>
      </c>
    </row>
    <row r="69" spans="1:9" ht="15" customHeight="1" thickBot="1" x14ac:dyDescent="0.35">
      <c r="A69" s="45"/>
      <c r="B69" s="9" t="s">
        <v>60</v>
      </c>
      <c r="C69" s="10">
        <f t="shared" ref="C69:I69" si="7">SUM(C59:C68)</f>
        <v>60881.99</v>
      </c>
      <c r="D69" s="10">
        <f t="shared" si="7"/>
        <v>42500</v>
      </c>
      <c r="E69" s="10">
        <f t="shared" si="7"/>
        <v>125579</v>
      </c>
      <c r="F69" s="10">
        <f t="shared" si="7"/>
        <v>0</v>
      </c>
      <c r="G69" s="10">
        <f t="shared" si="7"/>
        <v>0</v>
      </c>
      <c r="H69" s="10">
        <f t="shared" si="7"/>
        <v>2859.01</v>
      </c>
      <c r="I69" s="10">
        <f t="shared" si="7"/>
        <v>231820</v>
      </c>
    </row>
    <row r="70" spans="1:9" ht="15" thickTop="1" thickBot="1" x14ac:dyDescent="0.35">
      <c r="A70" s="11"/>
      <c r="B70" s="11"/>
      <c r="C70" s="11"/>
      <c r="D70" s="11"/>
      <c r="E70" s="11"/>
      <c r="F70" s="11"/>
      <c r="G70" s="11"/>
      <c r="H70" s="12"/>
    </row>
    <row r="71" spans="1:9" ht="15" thickTop="1" thickBot="1" x14ac:dyDescent="0.35">
      <c r="A71" s="44" t="s">
        <v>62</v>
      </c>
      <c r="B71" s="16" t="s">
        <v>27</v>
      </c>
      <c r="C71" s="20">
        <v>1000</v>
      </c>
      <c r="D71" s="6">
        <v>0</v>
      </c>
      <c r="E71" s="8">
        <f>5660-1000</f>
        <v>4660</v>
      </c>
      <c r="F71" s="6">
        <v>0</v>
      </c>
      <c r="G71" s="6">
        <v>0</v>
      </c>
      <c r="H71" s="6">
        <v>0</v>
      </c>
      <c r="I71" s="19">
        <f t="shared" ref="I71:I82" si="8">SUM(C71:H71)</f>
        <v>5660</v>
      </c>
    </row>
    <row r="72" spans="1:9" ht="14.4" customHeight="1" thickTop="1" thickBot="1" x14ac:dyDescent="0.35">
      <c r="A72" s="45"/>
      <c r="B72" s="16" t="s">
        <v>28</v>
      </c>
      <c r="C72" s="20">
        <v>2000</v>
      </c>
      <c r="D72" s="6">
        <v>0</v>
      </c>
      <c r="E72" s="8">
        <f>7140-2000</f>
        <v>5140</v>
      </c>
      <c r="F72" s="6">
        <v>0</v>
      </c>
      <c r="G72" s="6">
        <v>0</v>
      </c>
      <c r="H72" s="6">
        <v>0</v>
      </c>
      <c r="I72" s="19">
        <f t="shared" si="8"/>
        <v>7140</v>
      </c>
    </row>
    <row r="73" spans="1:9" ht="14.4" customHeight="1" thickTop="1" thickBot="1" x14ac:dyDescent="0.35">
      <c r="A73" s="45"/>
      <c r="B73" s="16" t="s">
        <v>29</v>
      </c>
      <c r="C73" s="20">
        <v>0</v>
      </c>
      <c r="D73" s="6">
        <v>0</v>
      </c>
      <c r="E73" s="8">
        <v>3600</v>
      </c>
      <c r="F73" s="6">
        <v>0</v>
      </c>
      <c r="G73" s="6">
        <v>0</v>
      </c>
      <c r="H73" s="6">
        <v>0</v>
      </c>
      <c r="I73" s="19">
        <f t="shared" si="8"/>
        <v>3600</v>
      </c>
    </row>
    <row r="74" spans="1:9" ht="14.4" customHeight="1" thickTop="1" thickBot="1" x14ac:dyDescent="0.35">
      <c r="A74" s="45"/>
      <c r="B74" s="16" t="s">
        <v>30</v>
      </c>
      <c r="C74" s="20">
        <v>0</v>
      </c>
      <c r="D74" s="6">
        <v>0</v>
      </c>
      <c r="E74" s="8">
        <v>2220</v>
      </c>
      <c r="F74" s="6">
        <v>0</v>
      </c>
      <c r="G74" s="6">
        <v>0</v>
      </c>
      <c r="H74" s="6">
        <v>0</v>
      </c>
      <c r="I74" s="19">
        <f t="shared" si="8"/>
        <v>2220</v>
      </c>
    </row>
    <row r="75" spans="1:9" ht="14.4" customHeight="1" thickTop="1" thickBot="1" x14ac:dyDescent="0.35">
      <c r="A75" s="45"/>
      <c r="B75" s="16" t="s">
        <v>31</v>
      </c>
      <c r="C75" s="20">
        <v>0</v>
      </c>
      <c r="D75" s="6">
        <v>0</v>
      </c>
      <c r="E75" s="8">
        <v>150</v>
      </c>
      <c r="F75" s="6">
        <v>0</v>
      </c>
      <c r="G75" s="6">
        <v>0</v>
      </c>
      <c r="H75" s="6">
        <v>0</v>
      </c>
      <c r="I75" s="19">
        <f t="shared" si="8"/>
        <v>150</v>
      </c>
    </row>
    <row r="76" spans="1:9" ht="14.4" customHeight="1" thickTop="1" thickBot="1" x14ac:dyDescent="0.35">
      <c r="A76" s="45"/>
      <c r="B76" s="16" t="s">
        <v>32</v>
      </c>
      <c r="C76" s="20">
        <v>0</v>
      </c>
      <c r="D76" s="6">
        <v>0</v>
      </c>
      <c r="E76" s="8">
        <v>1480</v>
      </c>
      <c r="F76" s="6">
        <v>0</v>
      </c>
      <c r="G76" s="6">
        <v>0</v>
      </c>
      <c r="H76" s="6">
        <v>0</v>
      </c>
      <c r="I76" s="19">
        <f t="shared" si="8"/>
        <v>1480</v>
      </c>
    </row>
    <row r="77" spans="1:9" ht="14.4" customHeight="1" thickTop="1" thickBot="1" x14ac:dyDescent="0.35">
      <c r="A77" s="45"/>
      <c r="B77" s="16" t="s">
        <v>33</v>
      </c>
      <c r="C77" s="20">
        <v>0</v>
      </c>
      <c r="D77" s="6">
        <v>0</v>
      </c>
      <c r="E77" s="8">
        <v>2680</v>
      </c>
      <c r="F77" s="6">
        <v>0</v>
      </c>
      <c r="G77" s="6">
        <v>0</v>
      </c>
      <c r="H77" s="6">
        <v>0</v>
      </c>
      <c r="I77" s="19">
        <f t="shared" si="8"/>
        <v>2680</v>
      </c>
    </row>
    <row r="78" spans="1:9" ht="14.4" customHeight="1" thickTop="1" thickBot="1" x14ac:dyDescent="0.35">
      <c r="A78" s="45"/>
      <c r="B78" s="16" t="s">
        <v>124</v>
      </c>
      <c r="C78" s="20">
        <v>0</v>
      </c>
      <c r="D78" s="6">
        <v>0</v>
      </c>
      <c r="E78" s="8">
        <v>1000</v>
      </c>
      <c r="F78" s="6">
        <v>0</v>
      </c>
      <c r="G78" s="6">
        <v>0</v>
      </c>
      <c r="H78" s="6">
        <v>0</v>
      </c>
      <c r="I78" s="19">
        <f t="shared" si="8"/>
        <v>1000</v>
      </c>
    </row>
    <row r="79" spans="1:9" ht="14.4" customHeight="1" thickTop="1" thickBot="1" x14ac:dyDescent="0.35">
      <c r="A79" s="45"/>
      <c r="B79" s="16" t="s">
        <v>34</v>
      </c>
      <c r="C79" s="20">
        <v>0</v>
      </c>
      <c r="D79" s="6">
        <v>0</v>
      </c>
      <c r="E79" s="8">
        <v>400</v>
      </c>
      <c r="F79" s="6">
        <v>0</v>
      </c>
      <c r="G79" s="6">
        <v>0</v>
      </c>
      <c r="H79" s="6">
        <v>0</v>
      </c>
      <c r="I79" s="19">
        <f t="shared" si="8"/>
        <v>400</v>
      </c>
    </row>
    <row r="80" spans="1:9" ht="14.4" customHeight="1" thickTop="1" thickBot="1" x14ac:dyDescent="0.35">
      <c r="A80" s="45"/>
      <c r="B80" s="16" t="s">
        <v>35</v>
      </c>
      <c r="C80" s="20">
        <v>0</v>
      </c>
      <c r="D80" s="6">
        <v>0</v>
      </c>
      <c r="E80" s="8">
        <v>1300</v>
      </c>
      <c r="F80" s="6">
        <v>0</v>
      </c>
      <c r="G80" s="6">
        <v>0</v>
      </c>
      <c r="H80" s="6">
        <v>0</v>
      </c>
      <c r="I80" s="19">
        <f t="shared" si="8"/>
        <v>1300</v>
      </c>
    </row>
    <row r="81" spans="1:9" ht="14.4" customHeight="1" thickTop="1" thickBot="1" x14ac:dyDescent="0.35">
      <c r="A81" s="45"/>
      <c r="B81" s="16" t="s">
        <v>125</v>
      </c>
      <c r="C81" s="20">
        <v>0</v>
      </c>
      <c r="D81" s="6">
        <v>0</v>
      </c>
      <c r="E81" s="8">
        <v>1050</v>
      </c>
      <c r="F81" s="6">
        <v>0</v>
      </c>
      <c r="G81" s="6">
        <v>0</v>
      </c>
      <c r="H81" s="6">
        <v>0</v>
      </c>
      <c r="I81" s="19">
        <f t="shared" si="8"/>
        <v>1050</v>
      </c>
    </row>
    <row r="82" spans="1:9" ht="14.4" customHeight="1" thickTop="1" x14ac:dyDescent="0.3">
      <c r="A82" s="45"/>
      <c r="B82" s="16" t="s">
        <v>36</v>
      </c>
      <c r="C82" s="20">
        <v>0</v>
      </c>
      <c r="D82" s="6">
        <v>0</v>
      </c>
      <c r="E82" s="8">
        <v>1180</v>
      </c>
      <c r="F82" s="6">
        <v>0</v>
      </c>
      <c r="G82" s="6">
        <v>0</v>
      </c>
      <c r="H82" s="6">
        <v>0</v>
      </c>
      <c r="I82" s="19">
        <f t="shared" si="8"/>
        <v>1180</v>
      </c>
    </row>
    <row r="83" spans="1:9" ht="15" customHeight="1" thickBot="1" x14ac:dyDescent="0.35">
      <c r="A83" s="45"/>
      <c r="B83" s="9" t="s">
        <v>61</v>
      </c>
      <c r="C83" s="10">
        <f t="shared" ref="C83:I83" si="9">SUM(C71:C82)</f>
        <v>3000</v>
      </c>
      <c r="D83" s="10">
        <f t="shared" si="9"/>
        <v>0</v>
      </c>
      <c r="E83" s="10">
        <f t="shared" si="9"/>
        <v>24860</v>
      </c>
      <c r="F83" s="10">
        <f t="shared" si="9"/>
        <v>0</v>
      </c>
      <c r="G83" s="10">
        <f t="shared" si="9"/>
        <v>0</v>
      </c>
      <c r="H83" s="10">
        <f t="shared" si="9"/>
        <v>0</v>
      </c>
      <c r="I83" s="10">
        <f t="shared" si="9"/>
        <v>27860</v>
      </c>
    </row>
    <row r="84" spans="1:9" ht="15" thickTop="1" thickBot="1" x14ac:dyDescent="0.35">
      <c r="A84" s="11"/>
      <c r="B84" s="11"/>
      <c r="C84" s="11"/>
      <c r="D84" s="11"/>
      <c r="E84" s="11"/>
      <c r="F84" s="11"/>
      <c r="G84" s="11"/>
      <c r="H84" s="12"/>
    </row>
    <row r="85" spans="1:9" ht="15" thickTop="1" thickBot="1" x14ac:dyDescent="0.35">
      <c r="A85" s="44" t="s">
        <v>12</v>
      </c>
      <c r="B85" s="16" t="s">
        <v>13</v>
      </c>
      <c r="C85" s="20">
        <f>119416-53000-10000-20000</f>
        <v>36416</v>
      </c>
      <c r="D85" s="8">
        <v>0</v>
      </c>
      <c r="E85" s="8">
        <f>53000+10000+20000</f>
        <v>83000</v>
      </c>
      <c r="F85" s="8">
        <v>0</v>
      </c>
      <c r="G85" s="6">
        <v>0</v>
      </c>
      <c r="H85" s="6">
        <v>0</v>
      </c>
      <c r="I85" s="19">
        <f t="shared" ref="I85:I94" si="10">SUM(C85:H85)</f>
        <v>119416</v>
      </c>
    </row>
    <row r="86" spans="1:9" ht="15" thickTop="1" thickBot="1" x14ac:dyDescent="0.35">
      <c r="A86" s="45"/>
      <c r="B86" s="16" t="s">
        <v>14</v>
      </c>
      <c r="C86" s="14">
        <f>276320-57000-40000-40000-35000-50000</f>
        <v>54320</v>
      </c>
      <c r="D86" s="8">
        <v>0</v>
      </c>
      <c r="E86" s="8">
        <f>57000+40000+40000+35000+50000</f>
        <v>222000</v>
      </c>
      <c r="F86" s="8">
        <v>0</v>
      </c>
      <c r="G86" s="6">
        <v>0</v>
      </c>
      <c r="H86" s="6">
        <v>0</v>
      </c>
      <c r="I86" s="19">
        <f t="shared" si="10"/>
        <v>276320</v>
      </c>
    </row>
    <row r="87" spans="1:9" ht="15" thickTop="1" thickBot="1" x14ac:dyDescent="0.35">
      <c r="A87" s="45"/>
      <c r="B87" s="16" t="s">
        <v>131</v>
      </c>
      <c r="C87" s="14">
        <v>0</v>
      </c>
      <c r="D87" s="8">
        <v>0</v>
      </c>
      <c r="E87" s="14">
        <v>193600</v>
      </c>
      <c r="F87" s="8">
        <v>0</v>
      </c>
      <c r="G87" s="6">
        <v>0</v>
      </c>
      <c r="H87" s="6">
        <v>0</v>
      </c>
      <c r="I87" s="19">
        <f t="shared" si="10"/>
        <v>193600</v>
      </c>
    </row>
    <row r="88" spans="1:9" ht="15" thickTop="1" thickBot="1" x14ac:dyDescent="0.35">
      <c r="A88" s="45"/>
      <c r="B88" s="16" t="s">
        <v>132</v>
      </c>
      <c r="C88" s="14">
        <v>0</v>
      </c>
      <c r="D88" s="8">
        <v>0</v>
      </c>
      <c r="E88" s="14">
        <v>10070</v>
      </c>
      <c r="F88" s="8">
        <v>0</v>
      </c>
      <c r="G88" s="6">
        <v>0</v>
      </c>
      <c r="H88" s="6">
        <v>0</v>
      </c>
      <c r="I88" s="19">
        <f t="shared" si="10"/>
        <v>10070</v>
      </c>
    </row>
    <row r="89" spans="1:9" ht="15" thickTop="1" thickBot="1" x14ac:dyDescent="0.35">
      <c r="A89" s="45"/>
      <c r="B89" s="16" t="s">
        <v>40</v>
      </c>
      <c r="C89" s="20">
        <v>0</v>
      </c>
      <c r="D89" s="8">
        <v>5116.0600000000004</v>
      </c>
      <c r="E89" s="8">
        <v>0</v>
      </c>
      <c r="F89" s="8">
        <v>0</v>
      </c>
      <c r="G89" s="6">
        <f>28500-5116.06</f>
        <v>23383.94</v>
      </c>
      <c r="H89" s="6">
        <v>0</v>
      </c>
      <c r="I89" s="19">
        <f t="shared" si="10"/>
        <v>28500</v>
      </c>
    </row>
    <row r="90" spans="1:9" ht="15" thickTop="1" thickBot="1" x14ac:dyDescent="0.35">
      <c r="A90" s="45"/>
      <c r="B90" s="16" t="s">
        <v>41</v>
      </c>
      <c r="C90" s="20">
        <v>0</v>
      </c>
      <c r="D90" s="8">
        <v>24000</v>
      </c>
      <c r="E90" s="8">
        <v>0</v>
      </c>
      <c r="F90" s="8">
        <v>0</v>
      </c>
      <c r="G90" s="6">
        <v>0</v>
      </c>
      <c r="H90" s="6">
        <v>0</v>
      </c>
      <c r="I90" s="19">
        <f t="shared" si="10"/>
        <v>24000</v>
      </c>
    </row>
    <row r="91" spans="1:9" ht="15" thickTop="1" thickBot="1" x14ac:dyDescent="0.35">
      <c r="A91" s="45"/>
      <c r="B91" s="16" t="s">
        <v>42</v>
      </c>
      <c r="C91" s="20">
        <v>0</v>
      </c>
      <c r="D91" s="8">
        <v>24000</v>
      </c>
      <c r="E91" s="8">
        <v>0</v>
      </c>
      <c r="F91" s="8">
        <v>0</v>
      </c>
      <c r="G91" s="6">
        <v>0</v>
      </c>
      <c r="H91" s="6">
        <v>0</v>
      </c>
      <c r="I91" s="19">
        <f t="shared" si="10"/>
        <v>24000</v>
      </c>
    </row>
    <row r="92" spans="1:9" ht="15" thickTop="1" thickBot="1" x14ac:dyDescent="0.35">
      <c r="A92" s="45"/>
      <c r="B92" s="16" t="s">
        <v>43</v>
      </c>
      <c r="C92" s="20">
        <v>0</v>
      </c>
      <c r="D92" s="8">
        <v>24000</v>
      </c>
      <c r="E92" s="8">
        <v>0</v>
      </c>
      <c r="F92" s="8">
        <v>0</v>
      </c>
      <c r="G92" s="6">
        <v>0</v>
      </c>
      <c r="H92" s="6">
        <v>0</v>
      </c>
      <c r="I92" s="19">
        <f t="shared" si="10"/>
        <v>24000</v>
      </c>
    </row>
    <row r="93" spans="1:9" ht="15" thickTop="1" thickBot="1" x14ac:dyDescent="0.35">
      <c r="A93" s="45"/>
      <c r="B93" s="16" t="s">
        <v>133</v>
      </c>
      <c r="C93" s="20">
        <v>0</v>
      </c>
      <c r="D93" s="8">
        <v>0</v>
      </c>
      <c r="E93" s="8">
        <v>6814</v>
      </c>
      <c r="F93" s="8">
        <v>0</v>
      </c>
      <c r="G93" s="6">
        <v>0</v>
      </c>
      <c r="H93" s="6">
        <v>0</v>
      </c>
      <c r="I93" s="19">
        <f t="shared" si="10"/>
        <v>6814</v>
      </c>
    </row>
    <row r="94" spans="1:9" s="21" customFormat="1" ht="14.5" thickTop="1" x14ac:dyDescent="0.3">
      <c r="A94" s="53"/>
      <c r="B94" s="16" t="s">
        <v>87</v>
      </c>
      <c r="C94" s="20">
        <v>0</v>
      </c>
      <c r="D94" s="8">
        <v>2250</v>
      </c>
      <c r="E94" s="8">
        <v>0</v>
      </c>
      <c r="F94" s="8">
        <v>0</v>
      </c>
      <c r="G94" s="6">
        <v>0</v>
      </c>
      <c r="H94" s="6">
        <v>0</v>
      </c>
      <c r="I94" s="19">
        <f t="shared" si="10"/>
        <v>2250</v>
      </c>
    </row>
    <row r="95" spans="1:9" ht="14.5" thickBot="1" x14ac:dyDescent="0.35">
      <c r="A95" s="53"/>
      <c r="B95" s="9" t="s">
        <v>63</v>
      </c>
      <c r="C95" s="10">
        <f t="shared" ref="C95:I95" si="11">SUM(C85:C94)</f>
        <v>90736</v>
      </c>
      <c r="D95" s="10">
        <f t="shared" ref="D95" si="12">SUM(D85:D94)</f>
        <v>79366.06</v>
      </c>
      <c r="E95" s="10">
        <f t="shared" ref="E95" si="13">SUM(E85:E94)</f>
        <v>515484</v>
      </c>
      <c r="F95" s="10">
        <f t="shared" ref="F95" si="14">SUM(F85:F94)</f>
        <v>0</v>
      </c>
      <c r="G95" s="10">
        <f t="shared" ref="G95" si="15">SUM(G85:G94)</f>
        <v>23383.94</v>
      </c>
      <c r="H95" s="10">
        <f t="shared" ref="H95" si="16">SUM(H85:H94)</f>
        <v>0</v>
      </c>
      <c r="I95" s="10">
        <f t="shared" si="11"/>
        <v>708970</v>
      </c>
    </row>
    <row r="96" spans="1:9" ht="15" thickTop="1" thickBot="1" x14ac:dyDescent="0.35">
      <c r="A96" s="25"/>
      <c r="B96" s="11"/>
      <c r="C96" s="11"/>
      <c r="D96" s="11"/>
      <c r="E96" s="11"/>
      <c r="F96" s="11"/>
      <c r="G96" s="11"/>
      <c r="H96" s="12"/>
    </row>
    <row r="97" spans="1:9" ht="15" thickTop="1" thickBot="1" x14ac:dyDescent="0.35">
      <c r="A97" s="44" t="s">
        <v>15</v>
      </c>
      <c r="B97" s="16" t="s">
        <v>16</v>
      </c>
      <c r="C97" s="6">
        <v>0</v>
      </c>
      <c r="D97" s="6">
        <v>0</v>
      </c>
      <c r="E97" s="6">
        <v>0</v>
      </c>
      <c r="F97" s="20">
        <v>11000</v>
      </c>
      <c r="G97" s="6">
        <v>0</v>
      </c>
      <c r="H97" s="6">
        <v>0</v>
      </c>
      <c r="I97" s="19">
        <f>SUM(C97:H97)</f>
        <v>11000</v>
      </c>
    </row>
    <row r="98" spans="1:9" ht="15" thickTop="1" thickBot="1" x14ac:dyDescent="0.35">
      <c r="A98" s="45"/>
      <c r="B98" s="16" t="s">
        <v>17</v>
      </c>
      <c r="C98" s="6">
        <v>0</v>
      </c>
      <c r="D98" s="6">
        <v>0</v>
      </c>
      <c r="E98" s="6">
        <v>0</v>
      </c>
      <c r="F98" s="20">
        <f>28999.99998-6532.3-5600</f>
        <v>16867.699980000001</v>
      </c>
      <c r="G98" s="6">
        <v>6532.3</v>
      </c>
      <c r="H98" s="6">
        <v>5600</v>
      </c>
      <c r="I98" s="19">
        <f>SUM(C98:H98)</f>
        <v>28999.999980000001</v>
      </c>
    </row>
    <row r="99" spans="1:9" ht="14.5" thickTop="1" x14ac:dyDescent="0.3">
      <c r="A99" s="53"/>
      <c r="B99" s="16" t="s">
        <v>110</v>
      </c>
      <c r="C99" s="6">
        <v>0</v>
      </c>
      <c r="D99" s="6">
        <v>0</v>
      </c>
      <c r="E99" s="6">
        <v>0</v>
      </c>
      <c r="F99" s="22">
        <v>21000.000039999999</v>
      </c>
      <c r="G99" s="6">
        <v>0</v>
      </c>
      <c r="H99" s="6">
        <v>0</v>
      </c>
      <c r="I99" s="19">
        <f>SUM(C99:H99)</f>
        <v>21000.000039999999</v>
      </c>
    </row>
    <row r="100" spans="1:9" ht="14.5" thickBot="1" x14ac:dyDescent="0.35">
      <c r="A100" s="53"/>
      <c r="B100" s="9" t="s">
        <v>64</v>
      </c>
      <c r="C100" s="10">
        <f>SUM(C97:C99)</f>
        <v>0</v>
      </c>
      <c r="D100" s="10">
        <f t="shared" ref="D100:H100" si="17">SUM(D97:D99)</f>
        <v>0</v>
      </c>
      <c r="E100" s="10">
        <f t="shared" si="17"/>
        <v>0</v>
      </c>
      <c r="F100" s="10">
        <f t="shared" si="17"/>
        <v>48867.700020000004</v>
      </c>
      <c r="G100" s="10">
        <f t="shared" si="17"/>
        <v>6532.3</v>
      </c>
      <c r="H100" s="10">
        <f t="shared" si="17"/>
        <v>5600</v>
      </c>
      <c r="I100" s="10">
        <f>SUM(I97:I99)</f>
        <v>61000.000019999999</v>
      </c>
    </row>
    <row r="101" spans="1:9" ht="15" thickTop="1" thickBot="1" x14ac:dyDescent="0.35">
      <c r="A101" s="26"/>
      <c r="B101" s="11"/>
      <c r="C101" s="11"/>
      <c r="D101" s="11"/>
      <c r="E101" s="11"/>
      <c r="F101" s="11"/>
      <c r="G101" s="11"/>
      <c r="H101" s="12"/>
    </row>
    <row r="102" spans="1:9" ht="14.5" thickTop="1" x14ac:dyDescent="0.3">
      <c r="A102" s="44" t="s">
        <v>18</v>
      </c>
      <c r="B102" s="16" t="s">
        <v>94</v>
      </c>
      <c r="C102" s="27"/>
      <c r="D102" s="28"/>
      <c r="E102" s="28"/>
      <c r="F102" s="28"/>
      <c r="G102" s="28"/>
      <c r="H102" s="34">
        <v>65000</v>
      </c>
      <c r="I102" s="19">
        <f>SUM(C102:H102)</f>
        <v>65000</v>
      </c>
    </row>
    <row r="103" spans="1:9" ht="14.5" thickBot="1" x14ac:dyDescent="0.35">
      <c r="A103" s="53"/>
      <c r="B103" s="9" t="s">
        <v>65</v>
      </c>
      <c r="C103" s="10">
        <f t="shared" ref="C103:I103" si="18">SUM(C102:C102)</f>
        <v>0</v>
      </c>
      <c r="D103" s="10">
        <f t="shared" si="18"/>
        <v>0</v>
      </c>
      <c r="E103" s="10">
        <f t="shared" si="18"/>
        <v>0</v>
      </c>
      <c r="F103" s="10">
        <f t="shared" si="18"/>
        <v>0</v>
      </c>
      <c r="G103" s="10">
        <f t="shared" si="18"/>
        <v>0</v>
      </c>
      <c r="H103" s="10">
        <f t="shared" si="18"/>
        <v>65000</v>
      </c>
      <c r="I103" s="10">
        <f t="shared" si="18"/>
        <v>65000</v>
      </c>
    </row>
    <row r="104" spans="1:9" ht="15" thickTop="1" thickBot="1" x14ac:dyDescent="0.35">
      <c r="A104" s="26"/>
      <c r="B104" s="11"/>
      <c r="C104" s="11"/>
      <c r="D104" s="11"/>
      <c r="E104" s="11"/>
      <c r="F104" s="11"/>
      <c r="G104" s="11"/>
      <c r="H104" s="12"/>
    </row>
    <row r="105" spans="1:9" ht="28.75" customHeight="1" thickTop="1" thickBot="1" x14ac:dyDescent="0.35">
      <c r="A105" s="46" t="s">
        <v>154</v>
      </c>
      <c r="B105" s="16" t="s">
        <v>112</v>
      </c>
      <c r="C105" s="14">
        <v>36566</v>
      </c>
      <c r="D105" s="6"/>
      <c r="E105" s="6">
        <v>0</v>
      </c>
      <c r="F105" s="6">
        <v>0</v>
      </c>
      <c r="G105" s="6">
        <v>0</v>
      </c>
      <c r="H105" s="6">
        <v>0</v>
      </c>
      <c r="I105" s="19">
        <f>SUM(C105:H105)</f>
        <v>36566</v>
      </c>
    </row>
    <row r="106" spans="1:9" ht="15" thickTop="1" thickBot="1" x14ac:dyDescent="0.35">
      <c r="A106" s="47"/>
      <c r="B106" s="16" t="s">
        <v>113</v>
      </c>
      <c r="C106" s="14">
        <v>134020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19">
        <f>SUM(C106:H106)</f>
        <v>134020</v>
      </c>
    </row>
    <row r="107" spans="1:9" ht="15" thickTop="1" thickBot="1" x14ac:dyDescent="0.35">
      <c r="A107" s="47"/>
      <c r="B107" s="16" t="s">
        <v>114</v>
      </c>
      <c r="C107" s="14">
        <v>76483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19">
        <f>SUM(C107:H107)</f>
        <v>76483</v>
      </c>
    </row>
    <row r="108" spans="1:9" ht="14.5" thickTop="1" x14ac:dyDescent="0.3">
      <c r="A108" s="47"/>
      <c r="B108" s="16" t="s">
        <v>115</v>
      </c>
      <c r="C108" s="14">
        <f>48010-8000</f>
        <v>40010</v>
      </c>
      <c r="D108" s="6">
        <v>0</v>
      </c>
      <c r="E108" s="8">
        <v>8000</v>
      </c>
      <c r="F108" s="6">
        <v>0</v>
      </c>
      <c r="G108" s="6">
        <v>0</v>
      </c>
      <c r="H108" s="6">
        <v>0</v>
      </c>
      <c r="I108" s="19">
        <f>SUM(C108:H108)</f>
        <v>48010</v>
      </c>
    </row>
    <row r="109" spans="1:9" ht="14.5" thickBot="1" x14ac:dyDescent="0.35">
      <c r="A109" s="48"/>
      <c r="B109" s="9" t="s">
        <v>152</v>
      </c>
      <c r="C109" s="10">
        <f t="shared" ref="C109:I109" si="19">SUM(C105:C108)</f>
        <v>287079</v>
      </c>
      <c r="D109" s="10">
        <f t="shared" si="19"/>
        <v>0</v>
      </c>
      <c r="E109" s="10">
        <f t="shared" si="19"/>
        <v>8000</v>
      </c>
      <c r="F109" s="10">
        <f t="shared" si="19"/>
        <v>0</v>
      </c>
      <c r="G109" s="10">
        <f t="shared" si="19"/>
        <v>0</v>
      </c>
      <c r="H109" s="10">
        <f t="shared" si="19"/>
        <v>0</v>
      </c>
      <c r="I109" s="10">
        <f t="shared" si="19"/>
        <v>295079</v>
      </c>
    </row>
    <row r="110" spans="1:9" ht="15" thickTop="1" thickBot="1" x14ac:dyDescent="0.35">
      <c r="A110" s="26"/>
    </row>
    <row r="111" spans="1:9" ht="15" thickTop="1" thickBot="1" x14ac:dyDescent="0.35">
      <c r="A111" s="46" t="s">
        <v>153</v>
      </c>
      <c r="B111" s="16" t="s">
        <v>116</v>
      </c>
      <c r="C111" s="14">
        <f>17530-7500</f>
        <v>10030</v>
      </c>
      <c r="D111" s="8">
        <v>0</v>
      </c>
      <c r="E111" s="8">
        <v>7500</v>
      </c>
      <c r="F111" s="8">
        <v>0</v>
      </c>
      <c r="G111" s="8">
        <v>0</v>
      </c>
      <c r="H111" s="8">
        <v>0</v>
      </c>
      <c r="I111" s="29">
        <f t="shared" ref="I111:I127" si="20">SUM(C111:H111)</f>
        <v>17530</v>
      </c>
    </row>
    <row r="112" spans="1:9" ht="14.4" customHeight="1" thickTop="1" thickBot="1" x14ac:dyDescent="0.35">
      <c r="A112" s="47"/>
      <c r="B112" s="16" t="s">
        <v>117</v>
      </c>
      <c r="C112" s="14">
        <v>4130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29">
        <f t="shared" si="20"/>
        <v>4130</v>
      </c>
    </row>
    <row r="113" spans="1:9" ht="14.4" customHeight="1" thickTop="1" thickBot="1" x14ac:dyDescent="0.35">
      <c r="A113" s="47"/>
      <c r="B113" s="16" t="s">
        <v>118</v>
      </c>
      <c r="C113" s="14">
        <v>5050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29">
        <f t="shared" si="20"/>
        <v>5050</v>
      </c>
    </row>
    <row r="114" spans="1:9" ht="14.4" customHeight="1" thickTop="1" thickBot="1" x14ac:dyDescent="0.35">
      <c r="A114" s="47"/>
      <c r="B114" s="16" t="s">
        <v>119</v>
      </c>
      <c r="C114" s="14">
        <v>0</v>
      </c>
      <c r="D114" s="8">
        <v>0</v>
      </c>
      <c r="E114" s="8">
        <v>18100</v>
      </c>
      <c r="F114" s="8">
        <v>0</v>
      </c>
      <c r="G114" s="8">
        <v>0</v>
      </c>
      <c r="H114" s="8">
        <v>0</v>
      </c>
      <c r="I114" s="29">
        <f t="shared" si="20"/>
        <v>18100</v>
      </c>
    </row>
    <row r="115" spans="1:9" ht="14.4" customHeight="1" thickTop="1" thickBot="1" x14ac:dyDescent="0.35">
      <c r="A115" s="47"/>
      <c r="B115" s="16" t="s">
        <v>111</v>
      </c>
      <c r="C115" s="14">
        <v>30000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19">
        <f>SUM(C115:H115)</f>
        <v>30000</v>
      </c>
    </row>
    <row r="116" spans="1:9" ht="21.65" customHeight="1" thickTop="1" thickBot="1" x14ac:dyDescent="0.35">
      <c r="A116" s="47"/>
      <c r="B116" s="16" t="s">
        <v>146</v>
      </c>
      <c r="C116" s="14">
        <v>4000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29">
        <f t="shared" si="20"/>
        <v>4000</v>
      </c>
    </row>
    <row r="117" spans="1:9" ht="14.4" customHeight="1" thickTop="1" thickBot="1" x14ac:dyDescent="0.35">
      <c r="A117" s="47"/>
      <c r="B117" s="16" t="s">
        <v>23</v>
      </c>
      <c r="C117" s="14">
        <v>0</v>
      </c>
      <c r="D117" s="8">
        <v>0</v>
      </c>
      <c r="E117" s="8">
        <v>19600</v>
      </c>
      <c r="F117" s="8">
        <v>0</v>
      </c>
      <c r="G117" s="8">
        <v>0</v>
      </c>
      <c r="H117" s="14">
        <v>0</v>
      </c>
      <c r="I117" s="29">
        <f t="shared" si="20"/>
        <v>19600</v>
      </c>
    </row>
    <row r="118" spans="1:9" ht="14.4" customHeight="1" thickTop="1" thickBot="1" x14ac:dyDescent="0.35">
      <c r="A118" s="47"/>
      <c r="B118" s="16" t="s">
        <v>24</v>
      </c>
      <c r="C118" s="14">
        <v>7455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29">
        <f t="shared" si="20"/>
        <v>7455</v>
      </c>
    </row>
    <row r="119" spans="1:9" ht="14.4" customHeight="1" thickTop="1" thickBot="1" x14ac:dyDescent="0.35">
      <c r="A119" s="47"/>
      <c r="B119" s="16" t="s">
        <v>25</v>
      </c>
      <c r="C119" s="14">
        <v>5410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29">
        <f t="shared" si="20"/>
        <v>5410</v>
      </c>
    </row>
    <row r="120" spans="1:9" ht="14.4" customHeight="1" thickTop="1" thickBot="1" x14ac:dyDescent="0.35">
      <c r="A120" s="47"/>
      <c r="B120" s="16" t="s">
        <v>39</v>
      </c>
      <c r="C120" s="14">
        <v>12615.57</v>
      </c>
      <c r="D120" s="14">
        <f>20740-12615.57-5600</f>
        <v>2524.4300000000003</v>
      </c>
      <c r="E120" s="8">
        <v>5600</v>
      </c>
      <c r="F120" s="8">
        <v>0</v>
      </c>
      <c r="G120" s="8">
        <v>0</v>
      </c>
      <c r="H120" s="8">
        <v>0</v>
      </c>
      <c r="I120" s="29">
        <f t="shared" si="20"/>
        <v>20740</v>
      </c>
    </row>
    <row r="121" spans="1:9" ht="14.4" customHeight="1" thickTop="1" thickBot="1" x14ac:dyDescent="0.35">
      <c r="A121" s="47"/>
      <c r="B121" s="16" t="s">
        <v>56</v>
      </c>
      <c r="C121" s="14">
        <v>8580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29">
        <f t="shared" si="20"/>
        <v>8580</v>
      </c>
    </row>
    <row r="122" spans="1:9" ht="14.4" customHeight="1" thickTop="1" thickBot="1" x14ac:dyDescent="0.35">
      <c r="A122" s="47"/>
      <c r="B122" s="16" t="s">
        <v>44</v>
      </c>
      <c r="C122" s="8">
        <v>0</v>
      </c>
      <c r="D122" s="8">
        <v>0</v>
      </c>
      <c r="E122" s="14">
        <v>6800</v>
      </c>
      <c r="F122" s="8">
        <v>0</v>
      </c>
      <c r="G122" s="8">
        <v>0</v>
      </c>
      <c r="H122" s="8">
        <v>0</v>
      </c>
      <c r="I122" s="29">
        <f t="shared" si="20"/>
        <v>6800</v>
      </c>
    </row>
    <row r="123" spans="1:9" ht="14.4" customHeight="1" thickTop="1" thickBot="1" x14ac:dyDescent="0.35">
      <c r="A123" s="47"/>
      <c r="B123" s="16" t="s">
        <v>121</v>
      </c>
      <c r="C123" s="8">
        <v>0</v>
      </c>
      <c r="D123" s="8">
        <v>0</v>
      </c>
      <c r="E123" s="14">
        <v>4725</v>
      </c>
      <c r="F123" s="8">
        <v>0</v>
      </c>
      <c r="G123" s="8">
        <v>0</v>
      </c>
      <c r="H123" s="8">
        <v>0</v>
      </c>
      <c r="I123" s="29">
        <f t="shared" si="20"/>
        <v>4725</v>
      </c>
    </row>
    <row r="124" spans="1:9" ht="14.4" customHeight="1" thickTop="1" thickBot="1" x14ac:dyDescent="0.35">
      <c r="A124" s="47"/>
      <c r="B124" s="16" t="s">
        <v>122</v>
      </c>
      <c r="C124" s="8">
        <v>0</v>
      </c>
      <c r="D124" s="8">
        <v>0</v>
      </c>
      <c r="E124" s="14">
        <v>4800</v>
      </c>
      <c r="F124" s="8">
        <v>0</v>
      </c>
      <c r="G124" s="8">
        <v>0</v>
      </c>
      <c r="H124" s="8">
        <v>0</v>
      </c>
      <c r="I124" s="29">
        <f t="shared" si="20"/>
        <v>4800</v>
      </c>
    </row>
    <row r="125" spans="1:9" ht="14.4" customHeight="1" thickTop="1" thickBot="1" x14ac:dyDescent="0.35">
      <c r="A125" s="47"/>
      <c r="B125" s="16" t="s">
        <v>127</v>
      </c>
      <c r="C125" s="14">
        <v>0</v>
      </c>
      <c r="D125" s="14">
        <v>0</v>
      </c>
      <c r="E125" s="8">
        <v>0</v>
      </c>
      <c r="F125" s="8">
        <v>0</v>
      </c>
      <c r="G125" s="8">
        <v>0</v>
      </c>
      <c r="H125" s="8">
        <v>7700</v>
      </c>
      <c r="I125" s="29">
        <f t="shared" si="20"/>
        <v>7700</v>
      </c>
    </row>
    <row r="126" spans="1:9" ht="14.4" customHeight="1" thickTop="1" thickBot="1" x14ac:dyDescent="0.35">
      <c r="A126" s="47"/>
      <c r="B126" s="16" t="s">
        <v>128</v>
      </c>
      <c r="C126" s="14">
        <v>47819</v>
      </c>
      <c r="D126" s="8">
        <v>0</v>
      </c>
      <c r="E126" s="14">
        <v>30000</v>
      </c>
      <c r="F126" s="8">
        <v>0</v>
      </c>
      <c r="G126" s="8">
        <v>0</v>
      </c>
      <c r="H126" s="8">
        <v>0</v>
      </c>
      <c r="I126" s="29">
        <f t="shared" si="20"/>
        <v>77819</v>
      </c>
    </row>
    <row r="127" spans="1:9" s="21" customFormat="1" ht="14.4" customHeight="1" thickTop="1" x14ac:dyDescent="0.3">
      <c r="A127" s="47"/>
      <c r="B127" s="16" t="s">
        <v>87</v>
      </c>
      <c r="C127" s="27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29">
        <f t="shared" si="20"/>
        <v>0</v>
      </c>
    </row>
    <row r="128" spans="1:9" ht="15" customHeight="1" thickBot="1" x14ac:dyDescent="0.35">
      <c r="A128" s="52"/>
      <c r="B128" s="9" t="s">
        <v>66</v>
      </c>
      <c r="C128" s="10">
        <f t="shared" ref="C128:I128" si="21">SUM(C111:C127)</f>
        <v>135089.57</v>
      </c>
      <c r="D128" s="10">
        <f t="shared" si="21"/>
        <v>2524.4300000000003</v>
      </c>
      <c r="E128" s="10">
        <f t="shared" si="21"/>
        <v>97125</v>
      </c>
      <c r="F128" s="10">
        <f t="shared" si="21"/>
        <v>0</v>
      </c>
      <c r="G128" s="10">
        <f t="shared" si="21"/>
        <v>0</v>
      </c>
      <c r="H128" s="10">
        <f t="shared" si="21"/>
        <v>7700</v>
      </c>
      <c r="I128" s="10">
        <f t="shared" si="21"/>
        <v>242439</v>
      </c>
    </row>
    <row r="129" spans="1:9" ht="15" thickTop="1" thickBot="1" x14ac:dyDescent="0.35"/>
    <row r="130" spans="1:9" ht="15" thickTop="1" thickBot="1" x14ac:dyDescent="0.35">
      <c r="A130" s="46" t="s">
        <v>22</v>
      </c>
      <c r="B130" s="16" t="s">
        <v>26</v>
      </c>
      <c r="C130" s="30">
        <v>0</v>
      </c>
      <c r="D130" s="31">
        <v>16840</v>
      </c>
      <c r="E130" s="31">
        <v>0</v>
      </c>
      <c r="F130" s="31">
        <v>0</v>
      </c>
      <c r="G130" s="31">
        <v>0</v>
      </c>
      <c r="H130" s="32">
        <v>7119.99</v>
      </c>
      <c r="I130" s="19">
        <f>SUM(C130:H130)</f>
        <v>23959.989999999998</v>
      </c>
    </row>
    <row r="131" spans="1:9" ht="15" thickTop="1" thickBot="1" x14ac:dyDescent="0.35">
      <c r="A131" s="47"/>
      <c r="B131" s="16" t="s">
        <v>88</v>
      </c>
      <c r="C131" s="28">
        <v>0</v>
      </c>
      <c r="D131" s="20">
        <v>40000</v>
      </c>
      <c r="E131" s="20">
        <v>0</v>
      </c>
      <c r="F131" s="8">
        <v>0</v>
      </c>
      <c r="G131" s="8">
        <v>13420</v>
      </c>
      <c r="H131" s="8">
        <v>0</v>
      </c>
      <c r="I131" s="19">
        <f>SUM(C131:H131)</f>
        <v>53420</v>
      </c>
    </row>
    <row r="132" spans="1:9" ht="15" thickTop="1" thickBot="1" x14ac:dyDescent="0.35">
      <c r="A132" s="47"/>
      <c r="B132" s="16" t="s">
        <v>89</v>
      </c>
      <c r="C132" s="6">
        <v>0</v>
      </c>
      <c r="D132" s="8">
        <v>0</v>
      </c>
      <c r="E132" s="20">
        <v>0</v>
      </c>
      <c r="F132" s="8">
        <v>0</v>
      </c>
      <c r="G132" s="8">
        <v>7900</v>
      </c>
      <c r="H132" s="8">
        <v>0</v>
      </c>
      <c r="I132" s="19">
        <f>SUM(C132:H132)</f>
        <v>7900</v>
      </c>
    </row>
    <row r="133" spans="1:9" ht="15" thickTop="1" thickBot="1" x14ac:dyDescent="0.35">
      <c r="A133" s="47"/>
      <c r="B133" s="16" t="s">
        <v>38</v>
      </c>
      <c r="C133" s="6">
        <v>0</v>
      </c>
      <c r="D133" s="8">
        <v>0</v>
      </c>
      <c r="E133" s="20">
        <v>0</v>
      </c>
      <c r="F133" s="8">
        <v>0</v>
      </c>
      <c r="G133" s="8">
        <v>2600</v>
      </c>
      <c r="H133" s="8">
        <v>0</v>
      </c>
      <c r="I133" s="19">
        <f>SUM(C133:H133)</f>
        <v>2600</v>
      </c>
    </row>
    <row r="134" spans="1:9" ht="14.5" thickTop="1" x14ac:dyDescent="0.3">
      <c r="A134" s="47"/>
      <c r="B134" s="16" t="s">
        <v>120</v>
      </c>
      <c r="C134" s="6">
        <v>0</v>
      </c>
      <c r="D134" s="22">
        <v>34210</v>
      </c>
      <c r="E134" s="22">
        <v>0</v>
      </c>
      <c r="F134" s="8">
        <v>0</v>
      </c>
      <c r="G134" s="8">
        <v>0</v>
      </c>
      <c r="H134" s="8">
        <v>0</v>
      </c>
      <c r="I134" s="19">
        <f>SUM(C134:H134)</f>
        <v>34210</v>
      </c>
    </row>
    <row r="135" spans="1:9" ht="14.5" thickBot="1" x14ac:dyDescent="0.35">
      <c r="A135" s="52"/>
      <c r="B135" s="9" t="s">
        <v>67</v>
      </c>
      <c r="C135" s="10">
        <f>SUM(C130:C134)</f>
        <v>0</v>
      </c>
      <c r="D135" s="10">
        <f t="shared" ref="D135:H135" si="22">SUM(D130:D134)</f>
        <v>91050</v>
      </c>
      <c r="E135" s="10">
        <f t="shared" si="22"/>
        <v>0</v>
      </c>
      <c r="F135" s="10">
        <f t="shared" si="22"/>
        <v>0</v>
      </c>
      <c r="G135" s="10">
        <f t="shared" si="22"/>
        <v>23920</v>
      </c>
      <c r="H135" s="10">
        <f t="shared" si="22"/>
        <v>7119.99</v>
      </c>
      <c r="I135" s="10">
        <f>SUM(I130:I134)</f>
        <v>122089.98999999999</v>
      </c>
    </row>
    <row r="136" spans="1:9" ht="15" thickTop="1" thickBot="1" x14ac:dyDescent="0.35"/>
    <row r="137" spans="1:9" ht="15" thickTop="1" thickBot="1" x14ac:dyDescent="0.35">
      <c r="A137" s="46" t="s">
        <v>45</v>
      </c>
      <c r="B137" s="16" t="s">
        <v>46</v>
      </c>
      <c r="C137" s="20">
        <v>2000</v>
      </c>
      <c r="D137" s="33">
        <v>0</v>
      </c>
      <c r="E137" s="33">
        <v>0</v>
      </c>
      <c r="F137" s="33">
        <v>0</v>
      </c>
      <c r="G137" s="33">
        <v>0</v>
      </c>
      <c r="H137" s="32">
        <v>0</v>
      </c>
      <c r="I137" s="19">
        <f t="shared" ref="I137:I143" si="23">SUM(C137:H137)</f>
        <v>2000</v>
      </c>
    </row>
    <row r="138" spans="1:9" ht="15" thickTop="1" thickBot="1" x14ac:dyDescent="0.35">
      <c r="A138" s="47"/>
      <c r="B138" s="16" t="s">
        <v>92</v>
      </c>
      <c r="C138" s="20">
        <v>1000</v>
      </c>
      <c r="D138" s="33">
        <v>0</v>
      </c>
      <c r="E138" s="33">
        <v>0</v>
      </c>
      <c r="F138" s="33">
        <v>0</v>
      </c>
      <c r="G138" s="33">
        <v>0</v>
      </c>
      <c r="H138" s="32">
        <v>0</v>
      </c>
      <c r="I138" s="19">
        <f t="shared" si="23"/>
        <v>1000</v>
      </c>
    </row>
    <row r="139" spans="1:9" ht="15" thickTop="1" thickBot="1" x14ac:dyDescent="0.35">
      <c r="A139" s="47"/>
      <c r="B139" s="16" t="s">
        <v>47</v>
      </c>
      <c r="C139" s="20">
        <v>3000</v>
      </c>
      <c r="D139" s="33">
        <v>0</v>
      </c>
      <c r="E139" s="33">
        <v>0</v>
      </c>
      <c r="F139" s="33">
        <v>0</v>
      </c>
      <c r="G139" s="33">
        <v>0</v>
      </c>
      <c r="H139" s="32">
        <v>0</v>
      </c>
      <c r="I139" s="19">
        <f t="shared" si="23"/>
        <v>3000</v>
      </c>
    </row>
    <row r="140" spans="1:9" ht="15" thickTop="1" thickBot="1" x14ac:dyDescent="0.35">
      <c r="A140" s="47"/>
      <c r="B140" s="16" t="s">
        <v>93</v>
      </c>
      <c r="C140" s="20">
        <v>2000</v>
      </c>
      <c r="D140" s="33">
        <v>0</v>
      </c>
      <c r="E140" s="33">
        <v>0</v>
      </c>
      <c r="F140" s="33">
        <v>0</v>
      </c>
      <c r="G140" s="33">
        <v>0</v>
      </c>
      <c r="H140" s="32">
        <v>0</v>
      </c>
      <c r="I140" s="19">
        <f t="shared" si="23"/>
        <v>2000</v>
      </c>
    </row>
    <row r="141" spans="1:9" ht="15" thickTop="1" thickBot="1" x14ac:dyDescent="0.35">
      <c r="A141" s="47"/>
      <c r="B141" s="16" t="s">
        <v>90</v>
      </c>
      <c r="C141" s="20">
        <v>2000</v>
      </c>
      <c r="D141" s="33">
        <v>0</v>
      </c>
      <c r="E141" s="33">
        <v>0</v>
      </c>
      <c r="F141" s="33">
        <v>0</v>
      </c>
      <c r="G141" s="33">
        <v>0</v>
      </c>
      <c r="H141" s="32">
        <v>0</v>
      </c>
      <c r="I141" s="19">
        <f t="shared" si="23"/>
        <v>2000</v>
      </c>
    </row>
    <row r="142" spans="1:9" ht="15" thickTop="1" thickBot="1" x14ac:dyDescent="0.35">
      <c r="A142" s="47"/>
      <c r="B142" s="16" t="s">
        <v>48</v>
      </c>
      <c r="C142" s="20">
        <v>1500</v>
      </c>
      <c r="D142" s="33">
        <v>0</v>
      </c>
      <c r="E142" s="33">
        <v>0</v>
      </c>
      <c r="F142" s="33">
        <v>0</v>
      </c>
      <c r="G142" s="33">
        <v>0</v>
      </c>
      <c r="H142" s="32">
        <v>0</v>
      </c>
      <c r="I142" s="19">
        <f t="shared" si="23"/>
        <v>1500</v>
      </c>
    </row>
    <row r="143" spans="1:9" ht="14.5" thickTop="1" x14ac:dyDescent="0.3">
      <c r="A143" s="47"/>
      <c r="B143" s="16" t="s">
        <v>91</v>
      </c>
      <c r="C143" s="20">
        <v>2000</v>
      </c>
      <c r="D143" s="33">
        <v>0</v>
      </c>
      <c r="E143" s="33">
        <v>0</v>
      </c>
      <c r="F143" s="33">
        <v>0</v>
      </c>
      <c r="G143" s="33">
        <v>0</v>
      </c>
      <c r="H143" s="32">
        <v>0</v>
      </c>
      <c r="I143" s="19">
        <f t="shared" si="23"/>
        <v>2000</v>
      </c>
    </row>
    <row r="144" spans="1:9" ht="14.5" thickBot="1" x14ac:dyDescent="0.35">
      <c r="A144" s="52"/>
      <c r="B144" s="9" t="s">
        <v>68</v>
      </c>
      <c r="C144" s="10">
        <f t="shared" ref="C144:I144" si="24">SUM(C137:C143)</f>
        <v>13500</v>
      </c>
      <c r="D144" s="10">
        <f t="shared" si="24"/>
        <v>0</v>
      </c>
      <c r="E144" s="10">
        <f t="shared" si="24"/>
        <v>0</v>
      </c>
      <c r="F144" s="10">
        <f t="shared" si="24"/>
        <v>0</v>
      </c>
      <c r="G144" s="10">
        <f t="shared" si="24"/>
        <v>0</v>
      </c>
      <c r="H144" s="10">
        <f t="shared" si="24"/>
        <v>0</v>
      </c>
      <c r="I144" s="10">
        <f t="shared" si="24"/>
        <v>13500</v>
      </c>
    </row>
    <row r="145" spans="1:9" ht="15" thickTop="1" thickBot="1" x14ac:dyDescent="0.35"/>
    <row r="146" spans="1:9" ht="15" thickTop="1" thickBot="1" x14ac:dyDescent="0.35">
      <c r="A146" s="46" t="s">
        <v>51</v>
      </c>
      <c r="B146" s="16" t="s">
        <v>52</v>
      </c>
      <c r="C146" s="20">
        <v>3100</v>
      </c>
      <c r="D146" s="8">
        <v>0</v>
      </c>
      <c r="E146" s="8">
        <v>0</v>
      </c>
      <c r="F146" s="8">
        <v>0</v>
      </c>
      <c r="G146" s="8">
        <f>10300-3100</f>
        <v>7200</v>
      </c>
      <c r="H146" s="8">
        <v>0</v>
      </c>
      <c r="I146" s="19">
        <f t="shared" ref="I146:I153" si="25">SUM(C146:H146)</f>
        <v>10300</v>
      </c>
    </row>
    <row r="147" spans="1:9" ht="15" thickTop="1" thickBot="1" x14ac:dyDescent="0.35">
      <c r="A147" s="47"/>
      <c r="B147" s="16" t="s">
        <v>126</v>
      </c>
      <c r="C147" s="20">
        <v>0</v>
      </c>
      <c r="D147" s="8">
        <v>23920</v>
      </c>
      <c r="E147" s="8">
        <v>0</v>
      </c>
      <c r="F147" s="8">
        <v>0</v>
      </c>
      <c r="G147" s="8">
        <f>133000-23920</f>
        <v>109080</v>
      </c>
      <c r="H147" s="8">
        <v>0</v>
      </c>
      <c r="I147" s="19">
        <f t="shared" si="25"/>
        <v>133000</v>
      </c>
    </row>
    <row r="148" spans="1:9" ht="15" thickTop="1" thickBot="1" x14ac:dyDescent="0.35">
      <c r="A148" s="47"/>
      <c r="B148" s="16" t="s">
        <v>53</v>
      </c>
      <c r="C148" s="8">
        <v>0</v>
      </c>
      <c r="D148" s="8">
        <v>0</v>
      </c>
      <c r="E148" s="8">
        <v>0</v>
      </c>
      <c r="F148" s="8">
        <v>0</v>
      </c>
      <c r="G148" s="34">
        <v>12000</v>
      </c>
      <c r="H148" s="34">
        <v>0</v>
      </c>
      <c r="I148" s="19">
        <f t="shared" si="25"/>
        <v>12000</v>
      </c>
    </row>
    <row r="149" spans="1:9" ht="15" thickTop="1" thickBot="1" x14ac:dyDescent="0.35">
      <c r="A149" s="47"/>
      <c r="B149" s="16" t="s">
        <v>54</v>
      </c>
      <c r="C149" s="8">
        <v>0</v>
      </c>
      <c r="D149" s="8">
        <v>0</v>
      </c>
      <c r="E149" s="20">
        <v>14200</v>
      </c>
      <c r="F149" s="8">
        <v>0</v>
      </c>
      <c r="G149" s="8">
        <v>0</v>
      </c>
      <c r="H149" s="8">
        <v>0</v>
      </c>
      <c r="I149" s="19">
        <f t="shared" si="25"/>
        <v>14200</v>
      </c>
    </row>
    <row r="150" spans="1:9" ht="15" thickTop="1" thickBot="1" x14ac:dyDescent="0.35">
      <c r="A150" s="47"/>
      <c r="B150" s="16" t="s">
        <v>129</v>
      </c>
      <c r="C150" s="20">
        <v>4300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19">
        <f t="shared" si="25"/>
        <v>4300</v>
      </c>
    </row>
    <row r="151" spans="1:9" ht="15" thickTop="1" thickBot="1" x14ac:dyDescent="0.35">
      <c r="A151" s="47"/>
      <c r="B151" s="16" t="s">
        <v>55</v>
      </c>
      <c r="C151" s="8">
        <v>0</v>
      </c>
      <c r="D151" s="8">
        <v>0</v>
      </c>
      <c r="E151" s="8">
        <v>0</v>
      </c>
      <c r="F151" s="8">
        <v>0</v>
      </c>
      <c r="G151" s="8">
        <v>12000</v>
      </c>
      <c r="H151" s="34">
        <v>0</v>
      </c>
      <c r="I151" s="19">
        <f t="shared" si="25"/>
        <v>12000</v>
      </c>
    </row>
    <row r="152" spans="1:9" ht="15" thickTop="1" thickBot="1" x14ac:dyDescent="0.35">
      <c r="A152" s="47"/>
      <c r="B152" s="16" t="s">
        <v>37</v>
      </c>
      <c r="C152" s="20">
        <v>2250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19">
        <f t="shared" si="25"/>
        <v>2250</v>
      </c>
    </row>
    <row r="153" spans="1:9" ht="14.5" thickTop="1" x14ac:dyDescent="0.3">
      <c r="A153" s="47"/>
      <c r="B153" s="16" t="s">
        <v>123</v>
      </c>
      <c r="C153" s="20">
        <v>5000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19">
        <f t="shared" si="25"/>
        <v>5000</v>
      </c>
    </row>
    <row r="154" spans="1:9" ht="14.5" thickBot="1" x14ac:dyDescent="0.35">
      <c r="A154" s="52"/>
      <c r="B154" s="9" t="s">
        <v>69</v>
      </c>
      <c r="C154" s="10">
        <f>SUM(C146:C153)</f>
        <v>14650</v>
      </c>
      <c r="D154" s="10">
        <f t="shared" ref="D154:H154" si="26">SUM(D146:D153)</f>
        <v>23920</v>
      </c>
      <c r="E154" s="10">
        <f t="shared" si="26"/>
        <v>14200</v>
      </c>
      <c r="F154" s="10">
        <f t="shared" si="26"/>
        <v>0</v>
      </c>
      <c r="G154" s="10">
        <f t="shared" si="26"/>
        <v>140280</v>
      </c>
      <c r="H154" s="10">
        <f t="shared" si="26"/>
        <v>0</v>
      </c>
      <c r="I154" s="10">
        <f t="shared" ref="I154" si="27">SUM(I146:I153)</f>
        <v>193050</v>
      </c>
    </row>
    <row r="155" spans="1:9" ht="28.75" customHeight="1" thickTop="1" x14ac:dyDescent="0.3">
      <c r="A155" s="49" t="s">
        <v>70</v>
      </c>
      <c r="B155" s="50"/>
      <c r="C155" s="35">
        <f t="shared" ref="C155:I155" si="28">C27+C49+C57+C69+C83+C95+C100+C103+C109+C128+C135+C144+C154</f>
        <v>756737</v>
      </c>
      <c r="D155" s="35">
        <f t="shared" si="28"/>
        <v>257856</v>
      </c>
      <c r="E155" s="35">
        <f t="shared" si="28"/>
        <v>1098999.9982</v>
      </c>
      <c r="F155" s="35">
        <f t="shared" si="28"/>
        <v>72267.700020000004</v>
      </c>
      <c r="G155" s="35">
        <f t="shared" si="28"/>
        <v>250000</v>
      </c>
      <c r="H155" s="35">
        <f t="shared" si="28"/>
        <v>103379.00000000001</v>
      </c>
      <c r="I155" s="35">
        <f t="shared" si="28"/>
        <v>2539239.6982199997</v>
      </c>
    </row>
    <row r="157" spans="1:9" x14ac:dyDescent="0.3">
      <c r="C157" s="3"/>
      <c r="D157" s="3"/>
      <c r="E157" s="3"/>
      <c r="F157" s="3"/>
      <c r="G157" s="3"/>
      <c r="H157" s="3"/>
      <c r="I157" s="36"/>
    </row>
    <row r="158" spans="1:9" ht="15.65" customHeight="1" x14ac:dyDescent="0.3"/>
  </sheetData>
  <mergeCells count="18">
    <mergeCell ref="A29:A49"/>
    <mergeCell ref="A28:H28"/>
    <mergeCell ref="A50:H50"/>
    <mergeCell ref="A51:A57"/>
    <mergeCell ref="A105:A109"/>
    <mergeCell ref="A155:B155"/>
    <mergeCell ref="C4:G6"/>
    <mergeCell ref="A137:A144"/>
    <mergeCell ref="A146:A154"/>
    <mergeCell ref="A130:A135"/>
    <mergeCell ref="A111:A128"/>
    <mergeCell ref="A59:A69"/>
    <mergeCell ref="A85:A95"/>
    <mergeCell ref="A97:A100"/>
    <mergeCell ref="A102:A103"/>
    <mergeCell ref="A71:A83"/>
    <mergeCell ref="A58:H58"/>
    <mergeCell ref="A11:A27"/>
  </mergeCells>
  <pageMargins left="0.7" right="0.7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NATKA</dc:creator>
  <cp:lastModifiedBy>Elvira Dushku</cp:lastModifiedBy>
  <cp:lastPrinted>2023-12-14T08:53:46Z</cp:lastPrinted>
  <dcterms:created xsi:type="dcterms:W3CDTF">2015-06-05T18:17:20Z</dcterms:created>
  <dcterms:modified xsi:type="dcterms:W3CDTF">2025-01-17T23:50:37Z</dcterms:modified>
</cp:coreProperties>
</file>